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_rels/workbook.xml.rels" ContentType="application/vnd.openxmlformats-package.relationships+xml"/>
  <Override PartName="/xl/workbook.xml" ContentType="application/vnd.openxmlformats-officedocument.spreadsheetml.sheet.main+xml"/>
  <Override PartName="/xl/comments6.xml" ContentType="application/vnd.openxmlformats-officedocument.spreadsheetml.comments+xml"/>
  <Override PartName="/xl/theme/theme1.xml" ContentType="application/vnd.openxmlformats-officedocument.theme+xml"/>
  <Override PartName="/xl/drawings/drawing1.xml" ContentType="application/vnd.openxmlformats-officedocument.drawing+xml"/>
  <Override PartName="/xl/drawings/vmlDrawing3.vml" ContentType="application/vnd.openxmlformats-officedocument.vmlDrawing"/>
  <Override PartName="/xl/drawings/vmlDrawing1.vml" ContentType="application/vnd.openxmlformats-officedocument.vmlDrawing"/>
  <Override PartName="/xl/drawings/drawing2.xml" ContentType="application/vnd.openxmlformats-officedocument.drawing+xml"/>
  <Override PartName="/xl/drawings/vmlDrawing4.vml" ContentType="application/vnd.openxmlformats-officedocument.vmlDrawing"/>
  <Override PartName="/xl/drawings/vmlDrawing2.vml" ContentType="application/vnd.openxmlformats-officedocument.vmlDrawing"/>
  <Override PartName="/xl/drawings/drawing3.xml" ContentType="application/vnd.openxmlformats-officedocument.drawing+xml"/>
  <Override PartName="/xl/drawings/vmlDrawing5.vml" ContentType="application/vnd.openxmlformats-officedocument.vmlDrawing"/>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comments1.xml" ContentType="application/vnd.openxmlformats-officedocument.spreadsheetml.comments+xml"/>
  <Override PartName="/xl/comments3.xml" ContentType="application/vnd.openxmlformats-officedocument.spreadsheetml.comments+xml"/>
  <Override PartName="/xl/comments5.xml" ContentType="application/vnd.openxmlformats-officedocument.spreadsheetml.comments+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3" activeTab="3"/>
  </bookViews>
  <sheets>
    <sheet name="матер" sheetId="1" state="hidden" r:id="rId3"/>
    <sheet name="материалы с ТЗР" sheetId="2" state="hidden" r:id="rId4"/>
    <sheet name="Матери " sheetId="3" state="hidden" r:id="rId5"/>
    <sheet name="Материалы" sheetId="4" state="visible" r:id="rId6"/>
    <sheet name="оборудование" sheetId="5" state="hidden" r:id="rId7"/>
    <sheet name="материалы без ТЗР (2)" sheetId="6" state="hidden" r:id="rId8"/>
    <sheet name="Лист1" sheetId="7" state="hidden" r:id="rId9"/>
    <sheet name="Лист2" sheetId="8" state="hidden" r:id="rId10"/>
    <sheet name="Лист3" sheetId="9" state="hidden" r:id="rId11"/>
  </sheets>
  <definedNames>
    <definedName function="false" hidden="false" localSheetId="0" name="_xlnm.Print_Area" vbProcedure="false">матер!$A$1:$Q$181</definedName>
    <definedName function="false" hidden="true" localSheetId="0" name="_xlnm._FilterDatabase" vbProcedure="false">матер!$A$10:$P$180</definedName>
    <definedName function="false" hidden="false" localSheetId="2" name="_xlnm.Print_Area" vbProcedure="false">'Матери '!$A$1:$AQ$84</definedName>
    <definedName function="false" hidden="true" localSheetId="2" name="_xlnm._FilterDatabase" vbProcedure="false">'Матери '!$A$9:$AQ$83</definedName>
    <definedName function="false" hidden="false" localSheetId="3" name="_xlnm.Print_Area" vbProcedure="false">Материалы!$A$1:$E$14</definedName>
    <definedName function="false" hidden="true" localSheetId="3" name="_xlnm._FilterDatabase" vbProcedure="false">Материалы!$A$12:$E$14</definedName>
    <definedName function="false" hidden="false" localSheetId="5" name="_xlnm.Print_Area" vbProcedure="false">'материалы без ТЗР (2)'!$A$1:$S$113</definedName>
    <definedName function="false" hidden="true" localSheetId="5" name="_xlnm._FilterDatabase" vbProcedure="false">'материалы без ТЗР (2)'!$A$9:$AS$112</definedName>
    <definedName function="false" hidden="false" localSheetId="1" name="_xlnm.Print_Area" vbProcedure="false">'материалы с ТЗР'!$A$1:$R$116</definedName>
    <definedName function="false" hidden="true" localSheetId="1" name="_xlnm._FilterDatabase" vbProcedure="false">'материалы с ТЗР'!$A$10:$Q$115</definedName>
    <definedName function="false" hidden="false" localSheetId="4" name="_xlnm.Print_Area" vbProcedure="false">оборудование!$A$1:$R$35</definedName>
    <definedName function="false" hidden="true" localSheetId="4" name="_xlnm._FilterDatabase" vbProcedure="false">оборудование!$A$10:$AB$34</definedName>
    <definedName function="false" hidden="false" localSheetId="0" name="_ftn1" vbProcedure="false">NA()</definedName>
    <definedName function="false" hidden="false" localSheetId="0" name="_ftnref1" vbProcedure="false">матер!$B$185</definedName>
    <definedName function="false" hidden="false" localSheetId="0" name="_xlnm_Print_Area" vbProcedure="false">матер!$A$1:$Q$181</definedName>
    <definedName function="false" hidden="false" localSheetId="1" name="_ftn1" vbProcedure="false">NA()</definedName>
    <definedName function="false" hidden="false" localSheetId="1" name="_ftnref1" vbProcedure="false">'материалы с ТЗР'!$C$120</definedName>
    <definedName function="false" hidden="false" localSheetId="1" name="_xlnm_Print_Area" vbProcedure="false">'материалы с ТЗР'!$A$1:$R$116</definedName>
    <definedName function="false" hidden="false" localSheetId="2" name="_ftn1" vbProcedure="false">NA()</definedName>
    <definedName function="false" hidden="false" localSheetId="2" name="_ftnref1" vbProcedure="false">NA()</definedName>
    <definedName function="false" hidden="false" localSheetId="2" name="_xlnm_Print_Area" vbProcedure="false">'Матери '!$A$1:$AQ$84</definedName>
    <definedName function="false" hidden="false" localSheetId="3" name="Excel_BuiltIn__FilterDatabase" vbProcedure="false">Материалы!$A$12:$E$13</definedName>
    <definedName function="false" hidden="false" localSheetId="3" name="_ftn1" vbProcedure="false">NA()</definedName>
    <definedName function="false" hidden="false" localSheetId="3" name="_ftnref1" vbProcedure="false">NA()</definedName>
    <definedName function="false" hidden="false" localSheetId="3" name="_xlnm_Print_Area" vbProcedure="false">Материалы!$A$1:$E$14</definedName>
    <definedName function="false" hidden="false" localSheetId="4" name="_ftn1" vbProcedure="false">NA()</definedName>
    <definedName function="false" hidden="false" localSheetId="4" name="_ftnref1" vbProcedure="false">NA()</definedName>
    <definedName function="false" hidden="false" localSheetId="4" name="_xlnm_Print_Area" vbProcedure="false">оборудование!$A$1:$R$35</definedName>
    <definedName function="false" hidden="false" localSheetId="4" name="_xlnm_Print_Area_0" vbProcedure="false">оборудование!$A$1:$AB$35</definedName>
    <definedName function="false" hidden="false" localSheetId="5" name="_ftn1" vbProcedure="false">NA()</definedName>
    <definedName function="false" hidden="false" localSheetId="5" name="_ftnref1" vbProcedure="false">'материалы без ТЗР (2)'!$D$117</definedName>
    <definedName function="false" hidden="false" localSheetId="5" name="_xlnm_Print_Area" vbProcedure="false">'материалы без ТЗР (2)'!$A$1:$S$113</definedName>
  </definedNames>
  <calcPr iterateCount="100" refMode="A1" iterate="false" iterateDelta="0.0001"/>
  <extLst>
    <ext xmlns:loext="http://schemas.libreoffice.org/" uri="{7626C862-2A13-11E5-B345-FEFF819CDC9F}">
      <loext:extCalcPr stringRefSyntax="CalcA1ExcelA1"/>
    </ext>
  </extLst>
</workbook>
</file>

<file path=xl/comments1.xml><?xml version="1.0" encoding="utf-8"?>
<comments xmlns="http://schemas.openxmlformats.org/spreadsheetml/2006/main" xmlns:xdr="http://schemas.openxmlformats.org/drawingml/2006/spreadsheetDrawing">
  <authors>
    <author>r</author>
  </authors>
  <commentList>
    <comment ref="P7" authorId="0">
      <text>
        <r>
          <rPr>
            <sz val="11"/>
            <color rgb="FF000000"/>
            <rFont val="Calibri"/>
            <family val="2"/>
            <charset val="1"/>
          </rPr>
          <t xml:space="preserve">Автор:
</t>
        </r>
        <r>
          <rPr>
            <sz val="9"/>
            <color rgb="FF000000"/>
            <rFont val="Tahoma"/>
            <family val="2"/>
            <charset val="1"/>
          </rPr>
          <t xml:space="preserve">в данном столбце, автоматически выделяется красной заливкой превышение свыше 0</t>
        </r>
      </text>
    </comment>
    <comment ref="Q7" authorId="0">
      <text>
        <r>
          <rPr>
            <sz val="11"/>
            <color rgb="FF000000"/>
            <rFont val="Calibri"/>
            <family val="2"/>
            <charset val="1"/>
          </rPr>
          <t xml:space="preserve">Автор:
</t>
        </r>
        <r>
          <rPr>
            <sz val="9"/>
            <color rgb="FF000000"/>
            <rFont val="Tahoma"/>
            <family val="2"/>
            <charset val="1"/>
          </rPr>
          <t xml:space="preserve">добавила, для исключения замечаний, выдаваемых от группы мониторинга</t>
        </r>
      </text>
    </comment>
    <comment ref="T7" authorId="0">
      <text>
        <r>
          <rPr>
            <sz val="11"/>
            <color rgb="FF000000"/>
            <rFont val="Calibri"/>
            <family val="2"/>
            <charset val="1"/>
          </rPr>
          <t xml:space="preserve">Автор:
</t>
        </r>
        <r>
          <rPr>
            <sz val="9"/>
            <color rgb="FF000000"/>
            <rFont val="Tahoma"/>
            <family val="2"/>
            <charset val="1"/>
          </rPr>
          <t xml:space="preserve">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comments2.xml><?xml version="1.0" encoding="utf-8"?>
<comments xmlns="http://schemas.openxmlformats.org/spreadsheetml/2006/main" xmlns:xdr="http://schemas.openxmlformats.org/drawingml/2006/spreadsheetDrawing">
  <authors>
    <author>r</author>
  </authors>
  <commentList>
    <comment ref="Q7" authorId="0">
      <text>
        <r>
          <rPr>
            <sz val="11"/>
            <color rgb="FF000000"/>
            <rFont val="Calibri"/>
            <family val="2"/>
            <charset val="1"/>
          </rPr>
          <t xml:space="preserve">Автор:
</t>
        </r>
        <r>
          <rPr>
            <sz val="9"/>
            <color rgb="FF000000"/>
            <rFont val="Tahoma"/>
            <family val="2"/>
            <charset val="1"/>
          </rPr>
          <t xml:space="preserve">в данном столбце, автоматически выделяется красной заливкой превышение свыше 0</t>
        </r>
      </text>
    </comment>
    <comment ref="R7" authorId="0">
      <text>
        <r>
          <rPr>
            <sz val="11"/>
            <color rgb="FF000000"/>
            <rFont val="Calibri"/>
            <family val="2"/>
            <charset val="1"/>
          </rPr>
          <t xml:space="preserve">Автор:
</t>
        </r>
        <r>
          <rPr>
            <sz val="9"/>
            <color rgb="FF000000"/>
            <rFont val="Tahoma"/>
            <family val="2"/>
            <charset val="1"/>
          </rPr>
          <t xml:space="preserve">добавила, для исключения замечаний, выдаваемых от группы мониторинга</t>
        </r>
      </text>
    </comment>
    <comment ref="U7" authorId="0">
      <text>
        <r>
          <rPr>
            <sz val="11"/>
            <color rgb="FF000000"/>
            <rFont val="Calibri"/>
            <family val="2"/>
            <charset val="1"/>
          </rPr>
          <t xml:space="preserve">Автор:
</t>
        </r>
        <r>
          <rPr>
            <sz val="9"/>
            <color rgb="FF000000"/>
            <rFont val="Tahoma"/>
            <family val="2"/>
            <charset val="1"/>
          </rPr>
          <t xml:space="preserve">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comments3.xml><?xml version="1.0" encoding="utf-8"?>
<comments xmlns="http://schemas.openxmlformats.org/spreadsheetml/2006/main" xmlns:xdr="http://schemas.openxmlformats.org/drawingml/2006/spreadsheetDrawing">
  <authors>
    <author>r</author>
  </authors>
  <commentList>
    <comment ref="T7" authorId="0">
      <text>
        <r>
          <rPr>
            <sz val="11"/>
            <color rgb="FF000000"/>
            <rFont val="Calibri"/>
            <family val="2"/>
            <charset val="1"/>
          </rPr>
          <t xml:space="preserve">Автор:
</t>
        </r>
        <r>
          <rPr>
            <sz val="9"/>
            <color rgb="FF000000"/>
            <rFont val="Tahoma"/>
            <family val="2"/>
            <charset val="1"/>
          </rPr>
          <t xml:space="preserve">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comments5.xml><?xml version="1.0" encoding="utf-8"?>
<comments xmlns="http://schemas.openxmlformats.org/spreadsheetml/2006/main" xmlns:xdr="http://schemas.openxmlformats.org/drawingml/2006/spreadsheetDrawing">
  <authors>
    <author>r</author>
  </authors>
  <commentList>
    <comment ref="U7" authorId="0">
      <text>
        <r>
          <rPr>
            <sz val="11"/>
            <color rgb="FF000000"/>
            <rFont val="Calibri"/>
            <family val="2"/>
            <charset val="1"/>
          </rPr>
          <t xml:space="preserve">Автор:
</t>
        </r>
        <r>
          <rPr>
            <sz val="9"/>
            <color rgb="FF000000"/>
            <rFont val="Tahoma"/>
            <family val="2"/>
            <charset val="1"/>
          </rPr>
          <t xml:space="preserve">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comments6.xml><?xml version="1.0" encoding="utf-8"?>
<comments xmlns="http://schemas.openxmlformats.org/spreadsheetml/2006/main" xmlns:xdr="http://schemas.openxmlformats.org/drawingml/2006/spreadsheetDrawing">
  <authors>
    <author>r</author>
  </authors>
  <commentList>
    <comment ref="R7" authorId="0">
      <text>
        <r>
          <rPr>
            <sz val="11"/>
            <color rgb="FF000000"/>
            <rFont val="Calibri"/>
            <family val="2"/>
            <charset val="1"/>
          </rPr>
          <t xml:space="preserve">Автор:
</t>
        </r>
        <r>
          <rPr>
            <sz val="9"/>
            <color rgb="FF000000"/>
            <rFont val="Tahoma"/>
            <family val="2"/>
            <charset val="1"/>
          </rPr>
          <t xml:space="preserve">в данном столбце, автоматически выделяется красной заливкой превышение свыше 0</t>
        </r>
      </text>
    </comment>
    <comment ref="S7" authorId="0">
      <text>
        <r>
          <rPr>
            <sz val="11"/>
            <color rgb="FF000000"/>
            <rFont val="Calibri"/>
            <family val="2"/>
            <charset val="1"/>
          </rPr>
          <t xml:space="preserve">Автор:
</t>
        </r>
        <r>
          <rPr>
            <sz val="9"/>
            <color rgb="FF000000"/>
            <rFont val="Tahoma"/>
            <family val="2"/>
            <charset val="1"/>
          </rPr>
          <t xml:space="preserve">добавила, для исключения замечаний, выдаваемых от группы мониторинга</t>
        </r>
      </text>
    </comment>
    <comment ref="V7" authorId="0">
      <text>
        <r>
          <rPr>
            <sz val="11"/>
            <color rgb="FF000000"/>
            <rFont val="Calibri"/>
            <family val="2"/>
            <charset val="1"/>
          </rPr>
          <t xml:space="preserve">Автор:
</t>
        </r>
        <r>
          <rPr>
            <sz val="9"/>
            <color rgb="FF000000"/>
            <rFont val="Tahoma"/>
            <family val="2"/>
            <charset val="1"/>
          </rPr>
          <t xml:space="preserve">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sharedStrings.xml><?xml version="1.0" encoding="utf-8"?>
<sst xmlns="http://schemas.openxmlformats.org/spreadsheetml/2006/main" count="3428" uniqueCount="1177">
  <si>
    <t xml:space="preserve">Приложение №3</t>
  </si>
  <si>
    <t xml:space="preserve">к Требованиям к оформлению и составлению сметной документации на работы по программе ремонтов </t>
  </si>
  <si>
    <t xml:space="preserve">                                                ПРИМЕР</t>
  </si>
  <si>
    <t xml:space="preserve">Метод анализа ТКП </t>
  </si>
  <si>
    <t xml:space="preserve">№ п/п</t>
  </si>
  <si>
    <t xml:space="preserve">Наименование планируемой к закупке продукции</t>
  </si>
  <si>
    <t xml:space="preserve">Единица изменения</t>
  </si>
  <si>
    <t xml:space="preserve">Требуемое количество</t>
  </si>
  <si>
    <t xml:space="preserve">Цена за ед. в смете, руб. без НДС</t>
  </si>
  <si>
    <t xml:space="preserve">Источник информации-1</t>
  </si>
  <si>
    <t xml:space="preserve">Источник информации-2</t>
  </si>
  <si>
    <t xml:space="preserve">Источник информации-3</t>
  </si>
  <si>
    <r>
      <rPr>
        <b val="true"/>
        <sz val="16"/>
        <rFont val="Arial"/>
        <family val="2"/>
        <charset val="1"/>
      </rPr>
      <t xml:space="preserve">Средне арифметическая </t>
    </r>
    <r>
      <rPr>
        <b val="true"/>
        <sz val="16"/>
        <color rgb="FF00B050"/>
        <rFont val="Arial"/>
        <family val="2"/>
        <charset val="1"/>
      </rPr>
      <t xml:space="preserve">(за единицу)</t>
    </r>
    <r>
      <rPr>
        <b val="true"/>
        <sz val="16"/>
        <rFont val="Arial"/>
        <family val="2"/>
        <charset val="1"/>
      </rPr>
      <t xml:space="preserve">, руб. без НДС
</t>
    </r>
    <r>
      <rPr>
        <sz val="11"/>
        <rFont val="Arial"/>
        <family val="2"/>
        <charset val="1"/>
      </rPr>
      <t xml:space="preserve">(гр.7+гр.10+гр.13)/3,
где 3 – количество указанных источников ценовой информации </t>
    </r>
  </si>
  <si>
    <t xml:space="preserve">% отклонения цены за ед. в смете от средне арифметической </t>
  </si>
  <si>
    <r>
      <rPr>
        <b val="true"/>
        <sz val="16"/>
        <rFont val="Arial"/>
        <family val="2"/>
        <charset val="1"/>
      </rPr>
      <t xml:space="preserve">Цена</t>
    </r>
    <r>
      <rPr>
        <b val="true"/>
        <sz val="16"/>
        <color rgb="FFFF0000"/>
        <rFont val="Arial"/>
        <family val="2"/>
        <charset val="1"/>
      </rPr>
      <t xml:space="preserve"> </t>
    </r>
    <r>
      <rPr>
        <b val="true"/>
        <sz val="16"/>
        <color rgb="FF00B050"/>
        <rFont val="Arial"/>
        <family val="2"/>
        <charset val="1"/>
      </rPr>
      <t xml:space="preserve">(за весь объем по смете)</t>
    </r>
    <r>
      <rPr>
        <b val="true"/>
        <sz val="16"/>
        <rFont val="Arial"/>
        <family val="2"/>
        <charset val="1"/>
      </rPr>
      <t xml:space="preserve">, руб. без НДС
</t>
    </r>
    <r>
      <rPr>
        <sz val="11"/>
        <rFont val="Arial"/>
        <family val="2"/>
        <charset val="1"/>
      </rPr>
      <t xml:space="preserve">(гр.4*гр.5)</t>
    </r>
  </si>
  <si>
    <t xml:space="preserve">КОММЕНТАРИЙ</t>
  </si>
  <si>
    <t xml:space="preserve">% отклонения от среднеарифметической (не должен быть более 20%)</t>
  </si>
  <si>
    <t xml:space="preserve">Наименование источника информации</t>
  </si>
  <si>
    <t xml:space="preserve">Стоимость продукции (за единицу) с учетом ценообразующих факторов, руб. без НДС</t>
  </si>
  <si>
    <t xml:space="preserve">Стоимость продукции (за весь объем), руб. без НДС</t>
  </si>
  <si>
    <t xml:space="preserve">Стоимость продукции (за весь объем) с учетом ценообразующих факторов, руб. без НДС</t>
  </si>
  <si>
    <t xml:space="preserve">Герметик  АБРО (RED) Тюбик 85 г</t>
  </si>
  <si>
    <t xml:space="preserve">г</t>
  </si>
  <si>
    <t xml:space="preserve">https://www.magazin-krasok.com/polirovka/autokosmetika/motorhim/11abr-abro.html</t>
  </si>
  <si>
    <t xml:space="preserve">https://avsila.ru/catalog/masla-avtokosmetika-avtokhimiya/germetiki/germetik-abro-silikonovyy-krasnyy-85-gr-original-11ab-r/?ysclid=lnna30tmkz989350706</t>
  </si>
  <si>
    <t xml:space="preserve">https://www.avtoall.ru/germetik_krasnyiy_silikonovyiy_vysokotemperaturnyiy_85g_abro-481831/?ysclid=lnna2yqqvs230393224#</t>
  </si>
  <si>
    <t xml:space="preserve">Грунт-эмаль "Корроед" серый ТУ 2312-041-54651722-2004</t>
  </si>
  <si>
    <t xml:space="preserve">кг</t>
  </si>
  <si>
    <t xml:space="preserve">https://novorossiysk.vseinstrumenti.ru/product/grunt-emal-po-rzhavchine-hardmax-korroed-ral-7040-okonnyj-seryj-banka-1-9-kg-1-sht-4690417071739-1853434/#searchQuery=Грунт-эмаль+по+ржавчине+HardMax+Корроед&amp;searchType=srp</t>
  </si>
  <si>
    <t xml:space="preserve">https://www.chipdip.ru/product0/8018241711?ysclid=lnncntmipn274156882</t>
  </si>
  <si>
    <t xml:space="preserve">https://avtomaster66.ru/catalog/grunty_1/grunt_emal_mister_hammer_hardmax_korroed_ral_7040_okonnyy_seryy_po_rzhavchine_1l_0_9kg_kvil/</t>
  </si>
  <si>
    <t xml:space="preserve">Грунт-эмаль "Корроед" синий ТУ 2312-041-54651722-2004</t>
  </si>
  <si>
    <t xml:space="preserve">https://avtomaster66.ru/catalog/grunty_1/grunt_emal_mister_hammer_hardmax_korroed_ral_5015_goluboy_po_rzhavchine_1l_0_9kg_kvil_/</t>
  </si>
  <si>
    <t xml:space="preserve">https://www.chipdip.ru/product0/8008857921</t>
  </si>
  <si>
    <t xml:space="preserve">https://novorossiysk.vseinstrumenti.ru/product/grunt-emal-po-rzhavchine-hardmax-korroed-ral-5015-goluboj-banka-0-9-kg-1-sht-4690417077977-1853240/#searchQuery=Грунт-эмаль+по+ржавчине+HardMax+Корроед+RAL+5015+голубой&amp;searchType=srp</t>
  </si>
  <si>
    <t xml:space="preserve">Грунт-эмаль по ржавчине "Корроед" красно-коричневый ТУ 2312-041-54651722-2004</t>
  </si>
  <si>
    <t xml:space="preserve">https://www.chipdip.ru/product0/8018241708?ysclid=lnnc3szz4c293021830</t>
  </si>
  <si>
    <t xml:space="preserve">https://avtomaster66.ru/catalog/grunty_1/grunt_emal_mister_hammer_hardmax_korroed_ral_3011_krasno_korichnevaya_po_rzhavchine_1l_0_9kg_kvil/?ysclid=lnnc6qp3ku546632107</t>
  </si>
  <si>
    <t xml:space="preserve">https://novorossiysk.vseinstrumenti.ru/product/grunt-emal-po-rzhavchine-hardmax-korroed-ral-3011-krasno-korichnevyj-banka-0-9-kg-1-sht-4690417071241-1853225/#searchQuery=Грунт-эмаль+по+ржавчине+HardMax+Корроед+красный&amp;searchType=srp</t>
  </si>
  <si>
    <t xml:space="preserve">Кольцо упругое МУВП К3 (35х18х9х4.5)</t>
  </si>
  <si>
    <t xml:space="preserve">шт.</t>
  </si>
  <si>
    <t xml:space="preserve">https://www.kirelis.ru/catalog/kolca/vtylki-myvp/id_30848/</t>
  </si>
  <si>
    <t xml:space="preserve">https://невинномысск.техно-хаус.рф/uplotnitelnye_materialy_i_izdeliya/koltsa_manzhety_salniki/koltso_uprugoe_muvp/koltso_uprugoe_muvp_k3_35kh18kh9kh4_5_tu_2500_37600152106_94/</t>
  </si>
  <si>
    <t xml:space="preserve">https://antisplash.ru/koltso-uprugoe-muvp-k3-35kh18kh9kh4-5</t>
  </si>
  <si>
    <t xml:space="preserve">Кран шаровый  Ø 15 латунь</t>
  </si>
  <si>
    <t xml:space="preserve">https://aquacentr18.ru/catalog/zapornaya_armatura/kran_sharovyy_du15_gg_babochka_pro_aqua/</t>
  </si>
  <si>
    <t xml:space="preserve">https://stmgroup.ru/goods/kran-sarovyj-vn-vn-12-bab-pro-aqua-fwb63-f15-f15x?ysclid=lnn0hvtj5u790161172</t>
  </si>
  <si>
    <t xml:space="preserve">https://www.etm.ru/cat/nn/6219190?ysclid=lnn0i717kf57925310&amp;city=77</t>
  </si>
  <si>
    <t xml:space="preserve">Кран шаровый  Ø 22 латунь</t>
  </si>
  <si>
    <t xml:space="preserve">https://www.etm.ru/cat/nn/2386322?ysclid=lnn17vsbvg856756019&amp;city=77</t>
  </si>
  <si>
    <t xml:space="preserve">https://novorossiysk.vseinstrumenti.ru/product/sharovoj-polnoprohodnoj-kran-pro-aqua-v-v-ruchka-rychag-1-fwl51-f25-f25x-978114/?ysclid=lnn119nu9u716721344</t>
  </si>
  <si>
    <t xml:space="preserve">https://www.teremonline.ru/catalog/inzhenernaya-santekhnika/zapornoreguliruyushchaya-armatura/1673_krany-sharovye/pro-aqua-fwl51f25f25x-pro-aqua-d-1-kran-sharovoy-polnoprokhodnoy-ruchkarychag-vv/?ysclid=lnn11fl0aw223348086</t>
  </si>
  <si>
    <t xml:space="preserve">Кран шаровый водоразборный Х/Г вода Ø 15</t>
  </si>
  <si>
    <t xml:space="preserve">https://www.proaqua.pro/catalog/armatura/sharovye-krany/sharovye-krany-spetsialnogo-naznacheniya/kran-uglovoy-s-160-patrubkom-dlya-shlanga-ruchka-rychag39/?ysclid=lnn1iukr2j945232635</t>
  </si>
  <si>
    <t xml:space="preserve">https://www.etm.ru/cat/nn/7406373?ysclid=lnn1j0vvah650562446&amp;city=77</t>
  </si>
  <si>
    <t xml:space="preserve">https://www.teremonline.ru/catalog/inzhenernaya-santekhnika/zapornoreguliruyushchaya-armatura/1673_krany-sharovye/pro-aqua-ewl55m15x-pro-aqua-d-12-kran-uglovoy-s-patrubkom-dlya-shlanga-ruchkarychag-n/?ysclid=lnn1ixv7ug729964205</t>
  </si>
  <si>
    <t xml:space="preserve">Кран шаровый водоразборный Х/Г вода Ø 22</t>
  </si>
  <si>
    <t xml:space="preserve">https://www.etm.ru/cat/nn/6817682</t>
  </si>
  <si>
    <t xml:space="preserve">https://www.teremonline.ru/catalog/inzhenernaya-santekhnika/zapornoreguliruyushchaya-armatura/1673_krany-sharovye/pro-aqua-ewl55m20x-pro-aqua-d-34-kran-uglovoy-s-patrubkom-dlya-shlanga-ruchkarychag-n/</t>
  </si>
  <si>
    <t xml:space="preserve">Круг лепестковый 125х22 gr 40 ГОСТ 21963-2002</t>
  </si>
  <si>
    <t xml:space="preserve">https://www.metiz-dvor.ru/catalog/krug-lepestkovyi-tortsevoi-125kh22-r40-detail?ysclid=lozgr9n54p348715598</t>
  </si>
  <si>
    <t xml:space="preserve">https://opttools.ru/catalog/elektroinstrument/prinadlezhnosti-k-elektroinstrumentam/lepestkovye-shlifovalnye-krugi/krug-lepestkovyy-tortsevoy-konicheskiy-r-40-125-kh-22-2-mm-sibrtekh-74083/?ysclid=lozgne801e667653234</t>
  </si>
  <si>
    <t xml:space="preserve">https://vihr.su/krug-lepestkovyy-tortsevoy-vikhr-125kh22-2-mm-r40/</t>
  </si>
  <si>
    <t xml:space="preserve">Масло 4-х тактных бензиновых двигателей LUKOIL SUPER минеральное 15W-40</t>
  </si>
  <si>
    <t xml:space="preserve">л</t>
  </si>
  <si>
    <t xml:space="preserve">https://ru.lukoil-shop.com/catalog/legkovye_avtomobili/motornye_masla/maslo_motornoe_lukoyl_super_15w_40_sg_cd/?ysclid=lozhj2wyln789992910</t>
  </si>
  <si>
    <t xml:space="preserve">https://www.vseinstrumenti.ru/product/motornoe-maslo-lukojl-avangard-sae-15w-40-api-cf-4-sg-5-l-19309-4825129/</t>
  </si>
  <si>
    <t xml:space="preserve">https://baza.drom.ru/vladivostok/chemistry/motoroil/lukojl-avangard-ultra-m3-sae-15w40-api-ci-4-sl-105001880.html</t>
  </si>
  <si>
    <t xml:space="preserve">Накопительный электрический водонагреватель Thermex Drift 10 O, белый, объём бака - 10 л, мощность - 1500 Вт, установка вертикальная с нижней подводкой 1/2".</t>
  </si>
  <si>
    <t xml:space="preserve">https://pakstore.ru/product/vodonagrevatel-nakopitelnyy-thermex-drift-10-o/</t>
  </si>
  <si>
    <t xml:space="preserve">https://naobzorah.ru/vodonagrevatel/thermex-drift-10-o</t>
  </si>
  <si>
    <t xml:space="preserve">https://vodaiteplo-online.ru/catalog/vodonagrevatel_thermex_drift_10_o/</t>
  </si>
  <si>
    <t xml:space="preserve">Смеситель для душа Тип См-ВУДРНШлр ГОСТ 25809-96</t>
  </si>
  <si>
    <t xml:space="preserve">https://shsl.ru/smesitel-dlya-vanny-s-dushem-psm-profsan-psm-150-k80-standart-b-tip-sm-vudrnshlr/?ysclid=loznv22ugh312817747</t>
  </si>
  <si>
    <t xml:space="preserve">https://yaropt24.ru/product/smesitel-dlya-vanny-sm-vudrnshla-ks-63007263-rossiya-kazan-gost-25809-96/</t>
  </si>
  <si>
    <t xml:space="preserve">https://www.vseinstrumenti.ru/product/smesitel-dlya-vanny-s-dushem-profsan-psm-tip-sm-vudrnshlr-psm-150-89-1651200/?ysclid=loznto0gsg531057395</t>
  </si>
  <si>
    <t xml:space="preserve">Смеситель для душа Тип См-ВУДРНШлр ГОСТ 25809-97</t>
  </si>
  <si>
    <t xml:space="preserve">Смеситель для раковины Тип См-УмОЦБА ГОСТ 25809-96</t>
  </si>
  <si>
    <t xml:space="preserve">https://www.vseinstrumenti.ru/product/smesitel-dlya-rakoviny-tsarsberg-tip-sm-umotsba-tsb-841-1207-1731411/?ysclid=lozqdgv7ga717016172</t>
  </si>
  <si>
    <t xml:space="preserve">https://yaropt24.ru/product/smesitel-dlya-umyvalnika-sm-umoczba-ks-7124-rossiya-kazan-gost-25809-96/</t>
  </si>
  <si>
    <t xml:space="preserve">https://shsl.ru/smesitel-dlya-rakoviny-psm-profsan-psm-740-008-plyus-tip-sm-umotsba/?ysclid=lozqfmcxmh237478252</t>
  </si>
  <si>
    <t xml:space="preserve">Фильтр-картридж KB061686-410</t>
  </si>
  <si>
    <t xml:space="preserve">https://opensea.ru/compressor-a25067.htm?ysclid=lozru3t0d0163429978</t>
  </si>
  <si>
    <t xml:space="preserve">https://stardive.ru/shop/detailed_layout/id/1094</t>
  </si>
  <si>
    <t xml:space="preserve">https://shop-compressor.ru/shop/detailed_layout/id/2088</t>
  </si>
  <si>
    <t xml:space="preserve">Фильтр-картридж KB067224-410</t>
  </si>
  <si>
    <t xml:space="preserve">https://scuba-shop.ru/shop/tov/2000/kartridzh-fil-tra-bauer-p41-co-067224.html</t>
  </si>
  <si>
    <t xml:space="preserve">https://shop-compressor.ru/shop/detailed_layout/id/2087</t>
  </si>
  <si>
    <t xml:space="preserve">https://stardive.ru/shop/detailed_layout/id/1093</t>
  </si>
  <si>
    <t xml:space="preserve">Фитинг  муфта соединительная Ø16</t>
  </si>
  <si>
    <t xml:space="preserve">https://www.etm.ru/cat/nn/9413754</t>
  </si>
  <si>
    <t xml:space="preserve">https://www.bigms.ru/catalog/product/mufta_soedinitelnaya_ravnoprokhodnaya_16_dlya_trub_iz_sshitogo_polietilena_tece_teceflex_latun_76601</t>
  </si>
  <si>
    <t xml:space="preserve">https://www.santexbaza.ru/truby-iz-sshitogo-polietilena-i-fitingi-uponor/fitingi-dlya-trub-iz-sshitogo-polietilena-pe-xa-uponor/mufta-soedinitelnaya-uponor/mufta-soedinitelnaya-16-uponor/?ysclid=lozsft4qsl564589963</t>
  </si>
  <si>
    <t xml:space="preserve">Фитинг  тройник соединительный Ø16</t>
  </si>
  <si>
    <t xml:space="preserve">https://prof-santehnika.ru/obzhimnye-fitingi/troynik-objimnoy/fiting-troynik-objimnoy-16-vtm-331-n-161616</t>
  </si>
  <si>
    <t xml:space="preserve">https://www.etm.ru/cat/nn/2300836?city=77</t>
  </si>
  <si>
    <t xml:space="preserve">https://www.vseinstrumenti.ru/product/obzhimnoj-trojnik-16-valtec-vtm-331-n-161616-829223/</t>
  </si>
  <si>
    <t xml:space="preserve">Фитинг  тройник соединительный Ø20 </t>
  </si>
  <si>
    <t xml:space="preserve">https://prof-santehnika.ru/obzhimnye-fitingi/troynik-objimnoy/fiting-troynik-objimnoy-20-vtm-331-n-202020</t>
  </si>
  <si>
    <t xml:space="preserve">https://www.etm.ru/cat/nn/7034263</t>
  </si>
  <si>
    <t xml:space="preserve">https://www.vseinstrumenti.ru/product/obzhimnoj-trojnik-20-valtec-vtm-331-n-202020-829224/</t>
  </si>
  <si>
    <t xml:space="preserve">Фитинг  уголок переходной Ø16</t>
  </si>
  <si>
    <t xml:space="preserve">https://kermi-fko.ru/rehau-rx-plus-14563471001.aspx</t>
  </si>
  <si>
    <t xml:space="preserve">https://www.nasoshop.ru/product/ugolok-perehodnik-rehau-s-naruzhnoy-rezboy-16-r-12</t>
  </si>
  <si>
    <t xml:space="preserve">https://www.etm.ru/cat/nn/6538975</t>
  </si>
  <si>
    <t xml:space="preserve">Фитинг  уголок соединительный Ø16</t>
  </si>
  <si>
    <t xml:space="preserve">https://www.vseinstrumenti.ru/product/ugolok-soedinitelnyj-16-mm-1-2-tsanga-shtutser-dlya-truboprovoda-zubr-51409-16-1-2-231878/</t>
  </si>
  <si>
    <t xml:space="preserve">https://exist.ru/Catalog/Goods/36/1025/AB70F01A</t>
  </si>
  <si>
    <t xml:space="preserve">http://www.tovarpost.ru/web/tovarpost.asp?action=tovpod&amp;elem=5966763</t>
  </si>
  <si>
    <t xml:space="preserve">Фитинг муфта соединительная Ø20</t>
  </si>
  <si>
    <t xml:space="preserve">https://www.elektro.ru/product/mufta_soedinitelnaya_stm-20_3_4_fortisflex_2/</t>
  </si>
  <si>
    <t xml:space="preserve">https://www.chipdip.ru/product0/8010128096</t>
  </si>
  <si>
    <t xml:space="preserve">https://www.etm.ru/cat/nn/6032007?city=77</t>
  </si>
  <si>
    <t xml:space="preserve">Фитинг тройник с переходом на внешнюю резьбу Ø16 </t>
  </si>
  <si>
    <t xml:space="preserve">https://valtec.ru/catalog/sistemy_metallopolimernyh_i_polimernyh_truboprovodov/obzhimnye_fitingi/fiting_objimnoj_trojnik_s_perehodom_na_narujnuyu_rezbu_vtm333n.html</t>
  </si>
  <si>
    <t xml:space="preserve">https://tdsayany.ru/catalogue/show/troynik-obzhimnoy-s-perehodom-na-nar-r/</t>
  </si>
  <si>
    <t xml:space="preserve">https://www.bigam.ru/product/valtec-1083844/</t>
  </si>
  <si>
    <t xml:space="preserve">Фитинг тройник с переходом на внешнюю резьбу Ø20 </t>
  </si>
  <si>
    <t xml:space="preserve">https://fwater.ru/catalog/fitingi_dlya_trub/fitingi_obzhimnye_dlya_trub_metalloplastikovykh_/valtec_3/troynik_s_perekhodom_na_naruzhnuyu_rezbu_20_mm_kh_1_2_valtec/</t>
  </si>
  <si>
    <t xml:space="preserve">https://www.termokit.ru/product/fiting_obzhimnoy_troynik_s_perekhodom_na_naruzhnuyu_rezbu_valtec_20_x_1_2.htm</t>
  </si>
  <si>
    <t xml:space="preserve">https://aksis63.ru/catalog/metalloplastikovye_truby_i_fitingi/vtm_333_troynik_obzhimnoy_s_perekhodom_na_naruzhnuyu_rezbu_20_1_2_20_ts_nar_ts/</t>
  </si>
  <si>
    <t xml:space="preserve">Фитинг уголок переходной Ø20</t>
  </si>
  <si>
    <t xml:space="preserve">https://www.tim-ru.ru/products/349526399-press_fiting_ugolok_nikelirovanny_20_20_f_l2020n</t>
  </si>
  <si>
    <t xml:space="preserve">https://www.vseinstrumenti.ru/product/ugolok-aqualink-perehodnoj-1-2x3-4-vn-vn-tsena-za-upakovku-10-sht-art-2560-1746361/#characteristics</t>
  </si>
  <si>
    <t xml:space="preserve">https://dn.ru/polietilenovye-truby-i-fitingi/ugolki/rtp/ugolok-axi-vr/dn20-1-2</t>
  </si>
  <si>
    <t xml:space="preserve">Фитинг уголок соединительный Ø20</t>
  </si>
  <si>
    <t xml:space="preserve">https://tim-com.ru/katalog-tim/press-fiting-ugolok-c320---1-2-vnutrennyaya-c320-mm</t>
  </si>
  <si>
    <t xml:space="preserve">https://promportal.su/goods/44188258/press-fiting-ugolok-nikelirovanniy-20-20-f-l2020n.htm</t>
  </si>
  <si>
    <t xml:space="preserve">https://tim-rif.ru/products/press-fiting-ugolok-nikelirovannyj-f-20x20-tim-f-l2020n</t>
  </si>
  <si>
    <t xml:space="preserve">Шарикоподшипник №308</t>
  </si>
  <si>
    <t xml:space="preserve">https://novorossiysk.vseinstrumenti.ru/product/podshipnik-cnic-uzel-ucp308-podshipnik-uc308-v-arochnom-korpuse-65231-2042508/#searchQuery=Подшипник+308&amp;searchType=srp</t>
  </si>
  <si>
    <t xml:space="preserve">https://new.optorg.ru/catalog/avtozapchasti/industrialnye_podshipniki/podshipniki/238505/</t>
  </si>
  <si>
    <t xml:space="preserve">https://bearingstore.ru/catalog/podshipniki_podshipnikovye_uzly_i_detali/podshipnikovye_uzly_korpusa_i_komplektuyushchie/podshipnikovye_uzly_i_komplektuyushchie_osnovnogo_primeneniya/72074/?ysclid=lnn5dbbf7v216585646</t>
  </si>
  <si>
    <t xml:space="preserve">Шланги гибкие, подвод воды (г/г)</t>
  </si>
  <si>
    <t xml:space="preserve">https://fetparts.ru/products/AQUALINK/02358.html</t>
  </si>
  <si>
    <t xml:space="preserve">https://goodmag.ru/product/aqualine-podvodka-gibkaya-dlya-vody-s-nak-gaykoy-latun-v-stalnoy-opletke-1-2-400-sm-vn-nar-2358/</t>
  </si>
  <si>
    <t xml:space="preserve">https://arsenal007.ru/catalog/khoztovary/santekhnika/podvodka/aqualine-podvodka-gibkaya-dlya-vodyi-s-nak-gaykoy-latun-v-stalnoy-opletke-1-2-400-sm--vn-nar-2358-art-719297/</t>
  </si>
  <si>
    <t xml:space="preserve">Эмаль ДВ-106  матовая одноупаковочная, на основе виниловой смолы. ТУ 2312-015-71409997-2005, Белая.</t>
  </si>
  <si>
    <t xml:space="preserve">https://www.kraska-ekb.ru/goods/81268106-grunt_emal_antikorroziynaya_dv_106</t>
  </si>
  <si>
    <t xml:space="preserve">https://bizorg.su/grunt-emal-r/p27961380-gruntemal-po-rzhavchine-dv106-tsveto</t>
  </si>
  <si>
    <t xml:space="preserve">https://krasnodar.pulscen.ru/products/grunt_emal_antikorroziynaya_dv_106_81268106</t>
  </si>
  <si>
    <t xml:space="preserve">Эмаль ДВ-106  матовая одноупаковочная, на основе виниловой смолы. ТУ 2312-015-71409997-2005, Красно коричневая.</t>
  </si>
  <si>
    <t xml:space="preserve"> Фильтрующий элемент топливного фильтра EF51040 (part №26560163)</t>
  </si>
  <si>
    <t xml:space="preserve">шт</t>
  </si>
  <si>
    <t xml:space="preserve">https://asakashi.ru/parts/info/SAKURA/EF51040</t>
  </si>
  <si>
    <t xml:space="preserve">https://4mycar.ru/parts/Sakura/EF51040</t>
  </si>
  <si>
    <t xml:space="preserve">https://exist.ru/Price/?pid=8C409A44&amp;sr=119</t>
  </si>
  <si>
    <t xml:space="preserve"> Фильтрующий элемент топливного фильтра Fleetguard  FF167A </t>
  </si>
  <si>
    <t xml:space="preserve">https://autopiter.ru/goods/ff167a/fleetguard/id21462321</t>
  </si>
  <si>
    <t xml:space="preserve">https://maslomarket.com/catalog/filters/the-fuel-filters/filtr-toplivnyy-fleetguard-ff167a/</t>
  </si>
  <si>
    <t xml:space="preserve">https://exist.ru/Price/?pid=27D005B4</t>
  </si>
  <si>
    <t xml:space="preserve"> Фильтрующий элемент топливного фильтра Fleetguard  FG1050 ECO (part №26560201)</t>
  </si>
  <si>
    <t xml:space="preserve">https://ugk174.ru/catalog/filtry/filtr_toplivnyj_goodwill_fg1050eco_605013_ef_5102_26560201_sk3380/</t>
  </si>
  <si>
    <t xml:space="preserve">https://gik43.ru/filtr-toplivnyy-goodwill-fg1050eco-605013-ef-5102-26560201-sk3380</t>
  </si>
  <si>
    <t xml:space="preserve">https://baza.drom.ru/krasnoyarsk/sell_spare_parts/filtr-toplivnyj-fg1050eco-fg1050eco-g13022100678.html</t>
  </si>
  <si>
    <t xml:space="preserve">Автомат  C60N   D40A</t>
  </si>
  <si>
    <t xml:space="preserve">https://rs24.ru/product/2313919</t>
  </si>
  <si>
    <t xml:space="preserve">https://www.chipdip.ru/product0/8007133241</t>
  </si>
  <si>
    <t xml:space="preserve">https://dc-electro.ru/catalog/products/vyklyuchatel-avtomaticheskiy-modulnyy-3p-d-40a-c60n-sche-m9f12340/</t>
  </si>
  <si>
    <t xml:space="preserve">Антифриз SINTEC LUXE G12+ (-40) красный</t>
  </si>
  <si>
    <t xml:space="preserve">https://autopiter.ru/goods/614500/sintec/id53355745</t>
  </si>
  <si>
    <t xml:space="preserve">https://megamarket.ru/catalog/details/antifriz-sintec-krasno-oranzhevyy-gotovyy-antifriz-5kg-614500-100022894432/otzyvy/#?details_block=reviews</t>
  </si>
  <si>
    <t xml:space="preserve">https://avtospectr.com/market/sintec-antifriz-lux-g12-krasnyj-01l/</t>
  </si>
  <si>
    <t xml:space="preserve">Герметик  АБРО (RED) 85 г</t>
  </si>
  <si>
    <t xml:space="preserve">Манометр общетехнический МП3-Уф 0-160 кгс/см2 кт.1,5 d.100
IP40 M20*1,5 РШ  ГОСТ 2405-88</t>
  </si>
  <si>
    <t xml:space="preserve">https://www.manometer-spb.ru/catalog/manometry/tekhnicheskie/3078/</t>
  </si>
  <si>
    <t xml:space="preserve">https://manometry.ru/mp3-uf</t>
  </si>
  <si>
    <t xml:space="preserve">https://mera-tek.ru/catalog/manometry/mp3-uf-1-mpa-kl-1-5-m20kh1-5/</t>
  </si>
  <si>
    <t xml:space="preserve">Манометр общетехнический МП3-Уф исп ЭКО 0-16 кгс/см2
кт.1,5 d.100 IP40 М20х1,5 РШ ГОСТ 2405-88</t>
  </si>
  <si>
    <t xml:space="preserve">https://nevinnomisk.specarmatura.ru/catalog/manometry_tekhnicheskie_fiztekh/manometr_mp3_uf_0_1_6_atm_ip40_m20_1_5_rsh/</t>
  </si>
  <si>
    <t xml:space="preserve">https://sale-instrument.ru/product/manometr-fizteh-mp3-uf-isp-eko-0-1-6-mpa-kt-1-5-d-100-ip40-g1-2-rsh-1754923532.html</t>
  </si>
  <si>
    <t xml:space="preserve">https://kupi-kip.ru/product/manometr-tehnicheskij-fizteh-mp3-uf-v-ispolnenii-eko/</t>
  </si>
  <si>
    <t xml:space="preserve">Манометр общетехнический МП3-Уф исп ЭКО 0-16 кгс/см2
кт.1,5 d.100 IP40 М20х1,5 РШ² ГОСТ 2405-88</t>
  </si>
  <si>
    <t xml:space="preserve">Манометр общетехнический МП3-Уф исп ЭКО 0-25 кгс/см2
кт.1,5 d.100 IP40 М20х1,5 РШ  ГОСТ 2405-88</t>
  </si>
  <si>
    <t xml:space="preserve">https://vsemanometri.ru/catalog/ekonom_variant/manometry_tekhnicheskie_mp3_uf_eko/</t>
  </si>
  <si>
    <t xml:space="preserve">https://www.manometer-spb.ru/catalog/manometry/tekhnicheskie/2770/</t>
  </si>
  <si>
    <t xml:space="preserve">https://lab-oborudovanie.ru/catalog/manometrt-mp3-u-eko-0-2-5-mpa/</t>
  </si>
  <si>
    <t xml:space="preserve">Манометр общетехнический МП3-Уф исп ЭКО 0-40 кгс/см2
кт.1,5 d.100 IP40 М20х1,5 РШ ГОСТ 2405-88</t>
  </si>
  <si>
    <t xml:space="preserve">https://tdatm.ru/catalog/kontrolno_izmeritelnye_pribory_kipia/sredstva_izmereniya_davleniya/manometry/manometr_mp3_uf_isp_eko_0_1_mpa_kt_1_5_d_100_ip40_g1_2_rsh.html</t>
  </si>
  <si>
    <t xml:space="preserve">https://www.manometer-spb.ru/catalog/manometry/tekhnicheskie/2766/</t>
  </si>
  <si>
    <t xml:space="preserve">Манометр общетехнический МП3-Уф исп ЭКО 0-60 кгс/см2
кт.1,5 d.100 IP40 М20х1,5 РШ ГОСТ 2405-88</t>
  </si>
  <si>
    <t xml:space="preserve">https://lab-oborudovanie.ru/catalog/manometrt-mp3-uf-eko-0-1-6-mpa/</t>
  </si>
  <si>
    <t xml:space="preserve">https://www.manometer-spb.ru/catalog/manometry/tekhnicheskie/2775/</t>
  </si>
  <si>
    <t xml:space="preserve">Манометр ТМ-320Р.00 0…2,5 МПа резьба М12х1,5.1,5 с гидрозаполнением ГОСТ 2405-88</t>
  </si>
  <si>
    <t xml:space="preserve">https://manometry.ru/tm-320r</t>
  </si>
  <si>
    <t xml:space="preserve">https://manocentr.ru/category/manometry/vibroustojchivye-manometry/vibroustojchivyj-manometr-tm-320r/</t>
  </si>
  <si>
    <t xml:space="preserve">https://ingenerseti.ru/product/manometr_tm_320r_00_0_2_5_mra_m12_1_5_zapolnenie_silikon_radialnyy_rosma/</t>
  </si>
  <si>
    <t xml:space="preserve">Манометр электроконтактный ДМ2010ф исп V 0-10 кгс/см2
кт.1,5 d.100 IP40 M20*1,5 РШ ГОСТ 2405-88</t>
  </si>
  <si>
    <t xml:space="preserve">https://www.fiztech.ru/catalog/manometry/693/</t>
  </si>
  <si>
    <t xml:space="preserve">https://afkmarket.ru/catalog/pribory-ucheta-i-kipia/manometry/29576/</t>
  </si>
  <si>
    <t xml:space="preserve">https://lab-oborudovanie.ru/catalog/manometr-dm2010-isp-5-0-10-mpa/</t>
  </si>
  <si>
    <t xml:space="preserve">Манометр электроконтактный ДМ2010ф исп V 0-100 кгс/см2
кт.1,5 d.100 IP40 M20*1,5 РШ ГОСТ 2405-88</t>
  </si>
  <si>
    <t xml:space="preserve">https://nevinnomisk.specarmatura.ru/catalog/manometry_elektrokontaktnye_fiztekh/manometr_dm2010f_isp_v_0_10_0_atm_ip40_m20kh1_5_rsh/</t>
  </si>
  <si>
    <t xml:space="preserve">https://www.manometer-spb.ru/catalog/manometry/elektrokontaktnye_ekm/6686/</t>
  </si>
  <si>
    <t xml:space="preserve">Манометр электроконтактный ДМ2010ф исп V 0-16 кгс/см2
кт.1,5 d.100 IP40 M20*1,5 РШ ГОСТ 2405-88</t>
  </si>
  <si>
    <t xml:space="preserve">https://nevinnomisk.specarmatura.ru/catalog/manometry_elektrokontaktnye_fiztekh/manometr_dm2010f_isp_v_0_1_6_atm_ip40_m20kh1_5_rsh/</t>
  </si>
  <si>
    <t xml:space="preserve">https://pro-com.ru/catalog/instrument_i_sredstva_zashchity/instrument_pnevmaticheskiy_/prinadlezhnosti_dlya_pnevmoinstrumenta_/manometry/manometr_dm2010f_isp_v_0_16_mpa_kt_1_5_d_100_ip40_m20_1_5_rsh/</t>
  </si>
  <si>
    <t xml:space="preserve">https://manometry.ru/dm2010f</t>
  </si>
  <si>
    <t xml:space="preserve">Манометр электроконтактный ДМ2010ф исп V 0-160 кгс/см2
кт.1,5 d.100 IP40 M20*1,5 РШ ГОСТ 2405-88</t>
  </si>
  <si>
    <t xml:space="preserve">https://mera-tek.ru/catalog/manometry/dm2010f-1-6-mpa-kl-1-5-isp-v-bez-flantsa/</t>
  </si>
  <si>
    <t xml:space="preserve">manometr_dm2010f_isp_v_0_160_kpa_kt_1_5_d_100_ip40_m20_1_5_rsh.html</t>
  </si>
  <si>
    <t xml:space="preserve">Манометр электроконтактный ДМ2010ф исп V 0-4 кгс/см2 кт.1,5
d.100 IP40 M20*1,5 РШ ГОСТ 2405-88</t>
  </si>
  <si>
    <t xml:space="preserve">http://www.spec-arm.ru/goods/230265912-manometr_elektrokontaktny_dm2010f_isp_v_0_4_0_mpa_kt_1_5_d100_ip40_m20kh1_5_rsh</t>
  </si>
  <si>
    <t xml:space="preserve">https://nevinnomisk.specarmatura.ru/catalog/manometry_elektrokontaktnye_fiztekh/manometr_dm2010f_isp_v_0_40_0_atm_ip40_m20kh1_5_rsh/</t>
  </si>
  <si>
    <t xml:space="preserve">Манометр электроконтактный ДМ2010ф исп V 0-40 кгс/см2
кт.1,5 d.100 IP40 M20*1,5 РШ ГОСТ 2405-88</t>
  </si>
  <si>
    <t xml:space="preserve">https://tdatm.ru/catalog/kontrolno_izmeritelnye_pribory_kipia/sredstva_izmereniya_davleniya/manometry/manometr_dm2010f_isp_v_0_1_mpa_kt_1_5_d_100_ip40_m20_1_5_rsh.html</t>
  </si>
  <si>
    <t xml:space="preserve">https://kupi-kip.ru/product/manometry-elektrokontaktnye-fizteh-dm2010f/</t>
  </si>
  <si>
    <t xml:space="preserve">Манометр электроконтактный ДМ2010ф исп V 0-6 кгс/см2 кт.1,5
d.100 IP40 M20*1,5 РШ  ГОСТ 2405-88</t>
  </si>
  <si>
    <t xml:space="preserve">https://nevinnomisk.specarmatura.ru/catalog/manometry_elektrokontaktnye_fiztekh/manometr_dm2010f_isp_v_0_6_0_atm_ip40_m20kh1_5_rsh/</t>
  </si>
  <si>
    <t xml:space="preserve">https://www.manometer-spb.ru/catalog/manometry/elektrokontaktnye_ekm/6690/</t>
  </si>
  <si>
    <t xml:space="preserve">Манометр электроконтактный ДМ2010ф исп V 0-60 кгс/см2
кт.1,5 d.100 IP40 M20*1,5 РШ ГОСТ 2405-88</t>
  </si>
  <si>
    <t xml:space="preserve">https://lab-oborudovanie.ru/catalog/manometr-dm2010-isp-5-0-60-mpa/</t>
  </si>
  <si>
    <t xml:space="preserve">Маркер-краска черный 4мм"Black" РМ-01 088370 MunHwa</t>
  </si>
  <si>
    <t xml:space="preserve">https://knopka.org/catalog/kantselyarskie-tovary/pismennie-prinadlejnosti/markery/marker-kraska/marker-kraska_58073.html?ysclid=lnn3h6eba5631905189</t>
  </si>
  <si>
    <t xml:space="preserve">https://kancnika.ru/catalog/pis-mennye-prinadlezhnosti/markery-flomastery/markery-spetsial-nye/Marker-kraska-BLACK-chernyy-4mm.html?ysclid=lnn3j2e0nt688273093</t>
  </si>
  <si>
    <t xml:space="preserve">https://book24.ru/product/marker-kraska-black-chernyy-4mm-6556368/?utm_source=yandex&amp;utm_medium=cpc&amp;utm_campaign=s%3Asrh_t%3Adsa_ret_n%3Acat_geo%3Arf_m%3Asite-crr21_new&amp;utm_content=14530339901&amp;utm_term=ST%3Asearch%7CS%3Anone%7CAP%3Ano%7CPT%3Aother%7CP%3A3%7CDT%3Adesktop%7CRI%3A11064%7CRN%3AНевинномысск%7CCI%3A90058700%7CGI%3A5230811600%7CPI%3A4116012%7CAI%3A14530339901%7CKW%3A&amp;etext=2202.Qh_vuGzMK23UNe-UpCdRM4Nyf17mJJhoYFs02AGhlc1w0UzzisQrSz_o6KNSyAiEdZ_RkAP7ZB-rSHPUxHa79GR462LQZ2HTJSlf20dKR6JueHdlaXBpaWpzcmR0b3p3.478aaa5b4f5de4ac28281cfad4665cae3cb163b6&amp;yclid=6012875871695738967</t>
  </si>
  <si>
    <t xml:space="preserve">Масло компрессорное Газпромнефть COMPRESSOR S SYNTH 100</t>
  </si>
  <si>
    <t xml:space="preserve">https://www.vseinstrumenti.ru/product/maslo-compressor-s-synth-100-1-l-gazpromneft-253721871-1175782/otzyvy/</t>
  </si>
  <si>
    <t xml:space="preserve">https://amertend.ru/gazpromneft-compressor-s-synth-100</t>
  </si>
  <si>
    <t xml:space="preserve">https://piteroils.ru/catalog/industrialnye_smazochnye_materialy/kompressornye/gazprom_neft_8/26841/</t>
  </si>
  <si>
    <t xml:space="preserve">Масло компрессорное Газпромнефть COMPRESSOR S SYNTH 150</t>
  </si>
  <si>
    <t xml:space="preserve">https://www.autoopt.ru/catalog/733654-maslo_kompressornoe_compressor_s_synth_150_205l180kg_gazpromneft</t>
  </si>
  <si>
    <t xml:space="preserve">https://amertend.ru/gazpromneft-compressor-s-synth-150</t>
  </si>
  <si>
    <t xml:space="preserve">https://vils.ru/catalog/kompressornye_masla/gazpromneft_compressor_s_synth_150/?offer=41867</t>
  </si>
  <si>
    <t xml:space="preserve">Масло моторное Авангард 15W40 CF-4/SG Лукойл</t>
  </si>
  <si>
    <t xml:space="preserve">https://ru.lukoil-shop.com/catalog/kommercheskiy_transport/motornye_masla/maslo_motornoe_lukoyl_avangard_mineralnoe_15w_40_api_cf_4_sg/</t>
  </si>
  <si>
    <t xml:space="preserve">https://baza.drom.ru/ekaterinburg/chemistry/motoroil/maslo-motornoe-lukoil-avangard-extra-15w-40-cg-4-e5-mineralnoe-5-l-dlja-kommerch-tehniki-lukoil-1552367-g12763204629.html</t>
  </si>
  <si>
    <t xml:space="preserve">https://www.arsenal-msk.ru/catalog/dlya-kommercheskogo-transporta/lukoyl-avangard-15w-40/</t>
  </si>
  <si>
    <t xml:space="preserve">Масло моторное Авангард Ультра 10w40 CI-4/SL Лукойл</t>
  </si>
  <si>
    <t xml:space="preserve">https://piteroils.ru/catalog/gruzovye_masla/otechestvennye_1/lukoyl_1/polusinteticheskie_18/13191/</t>
  </si>
  <si>
    <t xml:space="preserve"> https://www.vsemasla.com/lukojl-avangard-ul-tra-10w-40-ci-4-sl/</t>
  </si>
  <si>
    <t xml:space="preserve">https://hyperauto.ru/product/maslo-motornoe-lukoyl-avantgarde-ultra-10w40-polusinteticheskoe-api-sl-ci-4-acea-e7-jaso-dh-1-dlya-dizelnogo-dvigatelya-5l-art-19518-000017864/</t>
  </si>
  <si>
    <t xml:space="preserve">Пускатель ИКМИ 11811</t>
  </si>
  <si>
    <t xml:space="preserve">https://shop220.ru/kkm11-018-230-01-kontaktor-kmi-11811-18a-230v-as3-1nz-iek.htm</t>
  </si>
  <si>
    <t xml:space="preserve">https://www.etm.ru/cat/nn/9751780?city=77</t>
  </si>
  <si>
    <t xml:space="preserve">https://rs24.ru/product/30482</t>
  </si>
  <si>
    <t xml:space="preserve">Пускатель КМИ 22511</t>
  </si>
  <si>
    <t xml:space="preserve">https://ledgoods.ru/ehlektrotekhnika/kontaktory/minikontaktory/kontaktor-kmi-22511-25a-230v-as3-1nz-kkm21-025-230-01-iek/</t>
  </si>
  <si>
    <t xml:space="preserve">https://elevel.ru/shop/nizkovoltnoe-oborudovanie/kontaktory/iek-kontaktor-kmi-22511-25a-230v-as3-1nz/?ysclid=lnn3vbaxbe794611308</t>
  </si>
  <si>
    <t xml:space="preserve">https://www.elektro.ru/product/kontaktor_kmi-22511_25a_230v_as3_1nz_iek/?ysclid=lnn3vd85mf333358050</t>
  </si>
  <si>
    <t xml:space="preserve">Ремень приводной генератора 2614В555 Perkins 197  9289 Pje 51</t>
  </si>
  <si>
    <t xml:space="preserve">https://zipzap24.ru/drives-and-timing/remen-ventilyatora-k-kt-2sht-belt-art-2614b655</t>
  </si>
  <si>
    <t xml:space="preserve">https://www.hited-shop.ru/product/remen-ventilyatora-belt-art2614b655</t>
  </si>
  <si>
    <t xml:space="preserve">https://dg-trade.ru/catalog/zapchasti-dlya-dvigateley/zapchasti-perkins/remen-sistemy-okhlazhdeniya-perkins-2614b655/</t>
  </si>
  <si>
    <t xml:space="preserve">на согласование аналог Ремень приводной генератора 2614В655 Perkins 197  9289 Pje 51, т. к. 2614В555 не выпускают, в наличии нет </t>
  </si>
  <si>
    <t xml:space="preserve">Ремень приводной генератора AVX13-1075 La SF 4102 (1 шт.)</t>
  </si>
  <si>
    <t xml:space="preserve">https://www.autoopt.ru/catalog/911424-remen_privodnoj_klinovoj_13h1075_contitech</t>
  </si>
  <si>
    <t xml:space="preserve">https://avto-sistem.ru/baskets#/basket</t>
  </si>
  <si>
    <t xml:space="preserve">https://autocode.ru/price/Contitech/AVX13X1075</t>
  </si>
  <si>
    <t xml:space="preserve">Ремень приводной генератора FG Wilson</t>
  </si>
  <si>
    <t xml:space="preserve">https://www.tss.ru/catalog/zapchasti/zapasnye_chasti_dlya_dizelnykh_dvigateley/dvigateli_perkins/zapchasti_dlya_perkins_404_d_22g_ad_16_m18/remen_privoda_generatora_998_378_10000_66575_fg_wilson_004160/</t>
  </si>
  <si>
    <t xml:space="preserve">https://trustenergo.ru/catalog/zapasnye-chasti-dlya-dizelnykh-dvigateley/tss/remen-privoda-generatora-998-378-10000-66575-fg-wilson/</t>
  </si>
  <si>
    <t xml:space="preserve">https://www.rekon-russia.ru/catalog/detail/remen_privoda_generatora_998_378_10000_66575_fg_wilson/</t>
  </si>
  <si>
    <t xml:space="preserve">Ремень приводной генератора XPZ 860 Lw 873 La 4100 (2 шт)</t>
  </si>
  <si>
    <t xml:space="preserve">https://ati-auto.ru/catalog/rubena/88675/</t>
  </si>
  <si>
    <t xml:space="preserve"> https://gettzap.ru/cart</t>
  </si>
  <si>
    <t xml:space="preserve">https://jetauto39.ru/baskets#/basket</t>
  </si>
  <si>
    <t xml:space="preserve">Ремень Рerkins 2614b554</t>
  </si>
  <si>
    <t xml:space="preserve">https://motorteile.ru/products/OPTIBELT/AVX13X1325TM.html</t>
  </si>
  <si>
    <t xml:space="preserve">https://baza.drom.ru/barnaul/sell_spare_parts/remen-grm-contitech-avx13x1325-113231681.html</t>
  </si>
  <si>
    <t xml:space="preserve">https://euroauto.ru/cart/</t>
  </si>
  <si>
    <t xml:space="preserve">На согласование аналог? https://nolder.ru/catparts/search/2614b554/perkins/ </t>
  </si>
  <si>
    <t xml:space="preserve">Ремень Рerkins 2614b555</t>
  </si>
  <si>
    <t xml:space="preserve">https://partsell.ru/zakaz</t>
  </si>
  <si>
    <t xml:space="preserve"> https://www.tradicia-k.ru/catalog/remni-perkins/</t>
  </si>
  <si>
    <t xml:space="preserve">https://impart.online/catalog/remen-ventilyatora-20000-12379-981-209-2614b655-2614b555-fg-wilson-n47b10/</t>
  </si>
  <si>
    <t xml:space="preserve">Фильтр воздушный 10000-51238 (901-047 901-518 26510337) PERKINS</t>
  </si>
  <si>
    <t xml:space="preserve">https://fg-wilson.ru/product/filtr-vozdushnyy-elementair-filter-element-art-10000-51238</t>
  </si>
  <si>
    <t xml:space="preserve">https://pecmall.ru/products/FG-WILSON/1000051238.html</t>
  </si>
  <si>
    <t xml:space="preserve">https://zapchasti-generator.ru/catalog/zapchasti_i_raskhodnye_materialy/zapchasti-dlya-dvigateley/filtry_/vozdushnye/filtr_vozdushnyy_fg_willson_perkins_901_048_26510342/?utm_source=yd_context&amp;utm_medium=cpc&amp;utm_campaign=84814378&amp;utm_content=5152750150-13689630524-none-0&amp;utm_term=43773568027--none-goal_0&amp;yclid=15831746511027306495</t>
  </si>
  <si>
    <t xml:space="preserve">Фильтр воздушный 901-046 (26510362, 915-660) PERKINS</t>
  </si>
  <si>
    <t xml:space="preserve">https://fg-wilson.ru/product/filtr-vozdushnyy-901-046-26510362-915-660-art-901-046</t>
  </si>
  <si>
    <t xml:space="preserve">https://pecmall.ru/products/FG-WILSON/901046.html</t>
  </si>
  <si>
    <t xml:space="preserve">https://agroserver.ru/b/filtr-vozdushnyy-fg-wilson-901-046-26510362-915-660-1539830.htm</t>
  </si>
  <si>
    <t xml:space="preserve">Фильтр воздушный 901-048 (26510342) PERKINS</t>
  </si>
  <si>
    <t xml:space="preserve">https://autopiter.ru/cart</t>
  </si>
  <si>
    <t xml:space="preserve">https://texnostimul.ru/baskets#/basket</t>
  </si>
  <si>
    <t xml:space="preserve">https://arkopart.ru/baskets#/basket</t>
  </si>
  <si>
    <t xml:space="preserve">Фильтр воздушный Fleetguard AF25539</t>
  </si>
  <si>
    <t xml:space="preserve">https://autopiter.ru/goods/af25539/fleetguard/id21461873</t>
  </si>
  <si>
    <t xml:space="preserve">https://baza.drom.ru/tyumen/sell_spare_parts/filtr-vozdushnyj-mtz-dv-lombardini-fleetguard-fleetguard-art-af25539-g14339684661.html</t>
  </si>
  <si>
    <t xml:space="preserve">https://gmgauto.ru/baskets#/basket</t>
  </si>
  <si>
    <t xml:space="preserve">Фильтр масляный Fleetguard  LF701</t>
  </si>
  <si>
    <t xml:space="preserve">https://www.autoopt.ru/catalog/961833-filtr_masljanyj_caterpillar_fleetguard</t>
  </si>
  <si>
    <t xml:space="preserve">https://emex.ru/basket</t>
  </si>
  <si>
    <t xml:space="preserve">https://fetparts.ru/baskets#/basket</t>
  </si>
  <si>
    <t xml:space="preserve">Герметик бензомаслостойкий "ABRO"</t>
  </si>
  <si>
    <t xml:space="preserve">  кг.</t>
  </si>
  <si>
    <t xml:space="preserve">https://avsila.ru/catalog/masla-avtokosmetika-avtokhimiya/germetiki/germetik-abro-silikonovyy-seryy-85-gr-original-99-ab/</t>
  </si>
  <si>
    <t xml:space="preserve">https://www.avtoall.ru/germetik_prokladka_seryiy_termostoiykiiy_85g_999_oem__ssha__abro-073340/?withoutSuppliers=1</t>
  </si>
  <si>
    <t xml:space="preserve">https://www.chipdip.ru/product0/8013231474</t>
  </si>
  <si>
    <t xml:space="preserve">Масло трансмиссионное ТАД 17 ГОСТ 23652-79</t>
  </si>
  <si>
    <t xml:space="preserve">https://instrument-40.ru/transmissionnoe-maslo-vitex-tad-17-tm-5-18-10-l-v324805</t>
  </si>
  <si>
    <t xml:space="preserve">https://yunimag.ru/goods/1401431-transmissionnoe-maslo-vitex-tad-17tm-5-18-v324805.html</t>
  </si>
  <si>
    <t xml:space="preserve">https://novorossiysk.vseinstrumenti.ru/product/transmissionnoe-maslo-vitex-tad-17-tm-5-18-10-l-v324805-1582198/?ysclid=lnn32euvjo575984245</t>
  </si>
  <si>
    <t xml:space="preserve">Вилка угловая c/з каучук 16А 250В IP44</t>
  </si>
  <si>
    <t xml:space="preserve">https://www.etm.ru/cat/nn/9903245?ysclid=lnmwj2iu0211049083&amp;city=77</t>
  </si>
  <si>
    <t xml:space="preserve">https://rs24.ru/product/1703920</t>
  </si>
  <si>
    <t xml:space="preserve">https://www.electro-mpo.ru/catalog/vilki_razemy_udliniteli_setevye_filtry/r66_vilki_rozetki_v_rezinovom_korpuse_ip44_ip54_el/r5645-vilka-universal-1241-evr-kabelnaya-uglovaya-/?ysclid=lnmwohfeq378369280</t>
  </si>
  <si>
    <t xml:space="preserve">Воздухоосушительный фильтр ОЗОН-НОРД 1-1 УХЛ1 ТУ 3418-002-71552016-2009</t>
  </si>
  <si>
    <t xml:space="preserve">https://npoenergokom.ru/zip-trans/vozdukhoosushiteli-vs/vs-1/</t>
  </si>
  <si>
    <t xml:space="preserve">https://www.ds66.ru/goods/1087714/</t>
  </si>
  <si>
    <t xml:space="preserve">https://viam.online/sverdlovskaja-oblast/zarechnyj/dlja-biznesa/oborudovanie-dlja-biznesa/promyshlennoe/3875-vozduhoosushiteli-rasshiritelnyj-baki.html</t>
  </si>
  <si>
    <t xml:space="preserve">Выключатель автоматический однополюсный 10 А (OptiDin BM63)  тип расцепления
C, отключающая способность 6 кА, количество полюсов 1, номинальное напряжение 220 В,
тип напряжения переменное (AC), класс защиты IP20, монтаж на DIN-рейку да, максимальное сечение подключаемого кабеля 25 кв. мм, механизм расцепителя электромагнитный</t>
  </si>
  <si>
    <t xml:space="preserve">https://www.tesli.com/product/avtomaticheskiy-vyklyuchatel-keaz-1994448/</t>
  </si>
  <si>
    <t xml:space="preserve">https://www.prestig.ru/catalog/element/vyklyuchatel-avtomaticheskiy-modulnyy-1p-c-10a-6ka-optidin-bm63-1c10-ukhl3-keaz-260501/</t>
  </si>
  <si>
    <t xml:space="preserve">https://favorit-el.ru/catalog/vykljuchatel-avtomaticheskij-optidin-bm63-1c10-ukhl3.html</t>
  </si>
  <si>
    <t xml:space="preserve">Выключатель автоматический однополюсный 16А  (OptiDin BM63) тип расцепления
C, отключающая способность 6 кА, количество полюсов 1, номинальное напряжение 220 В,
тип напряжения переменное (AC), класс защиты IP20, монтаж на DIN-рейку да, максимальное сечение подключаемого кабеля 25 кв. мм, механизм расцепителя электромагнитный</t>
  </si>
  <si>
    <t xml:space="preserve">https://keaz.ru/catalog/product/261159</t>
  </si>
  <si>
    <t xml:space="preserve">https://shop220.ru/261159-avtomaticheskiy-vyklyuchatel-postoyannogo-toka-optidin-bm63-1p-s16a-dc220v-6ka-keaz-bm63-1c16-dc-uhl3-avtomat-elektricheskiy.htm</t>
  </si>
  <si>
    <t xml:space="preserve">https://cable.ru/low-voltage/low-voltage-avtomaticheskii_viklyuchatel_optidin_bm63_1c16_dc_uhl3_keaz.php</t>
  </si>
  <si>
    <t xml:space="preserve">Выключатель автоматический однополюсный 25А  (OptiDin BM63) тип расцепления
C, отключающая способность 6 кА, количество полюсов 1, номинальное напряжение 220 В,
тип напряжения переменное (AC), класс защиты IP20, монтаж на DIN-рейку да, максимальное сечение подключаемого кабеля 25 кв. мм, механизм расцепителя электромагнитный</t>
  </si>
  <si>
    <t xml:space="preserve">https://keaz.ru/catalog/product/293219</t>
  </si>
  <si>
    <t xml:space="preserve">https://favorit-el.ru/catalog/vykljuchatel-avtomaticheskij-optidin-bm63-1c25-ukhl3.html</t>
  </si>
  <si>
    <t xml:space="preserve">https://www.tesli.com/product/avtomaticheskiy-vyklyuchatel-keaz-1994453/</t>
  </si>
  <si>
    <t xml:space="preserve">Выключатель автоматический однополюсный 6А  (OptiDin BM63) тип расцепления
С, отключающая способность 6 кА, количество полюсов 3, номинальное напряжение 380 В,
тип напряжения переменное (AC), класс защиты IP20, монтаж на DIN-рейку да, максимальное сечение подключаемого кабеля 25 кв. мм, механизм расцепителя электромагнитный</t>
  </si>
  <si>
    <t xml:space="preserve"> https://www.chipdip.ru/product0/8001839078</t>
  </si>
  <si>
    <t xml:space="preserve">https://shop220.ru/260499-keaz-optidin-bm63-avtomaticheskiy-vyklyuchatel-1p-6a-b-6ka-ac-bm63-1b6-uhl3-avtomat.htm</t>
  </si>
  <si>
    <t xml:space="preserve">https://www.electro-mpo.ru/catalog/avtomaty_uzo_difavtomaty/a11_avtomaticheskie_vyklyuchateli_odnopolyusnye_va/a1147_avtomaticheskiy_vyklyuchatel_vm_63_1c6_6a_1p/</t>
  </si>
  <si>
    <t xml:space="preserve">Выключатель автоматический трехполюсный 10А (OptiDin BM63) тип расцепления
С, отключающая способность 6 кА, количество полюсов 3, номинальное напряжение 380 В,
тип напряжения переменное (AC), класс защиты IP20, монтаж на DIN-рейку да, максимальное сечение подключаемого кабеля 25 кв. мм, механизм расцепителя электромагнитный</t>
  </si>
  <si>
    <t xml:space="preserve">https://ledgoods.ru/ehlektrotekhnika/vykljuchateli/vyklyuchateli-avtomaticheskie-trekhpolyusnye/avtomaticheskij-vyklyuchatel-optidin-bm63-3c10-uhl3-3p-260789-keaz/</t>
  </si>
  <si>
    <t xml:space="preserve">https://shop220.ru/260773-keaz-optidin-bm63-avtomaticheskiy-vyklyuchatel-3p-10a-b-6ka-ac-bm63-3b10-uhl3-avtomat.htm</t>
  </si>
  <si>
    <t xml:space="preserve">https://rs24.ru/product/2140878</t>
  </si>
  <si>
    <t xml:space="preserve">Выключатель автоматический трехполюсный 16А (OptiDin BM63) тип расцепления
С, отключающая способность 6 кА, количество полюсов 3, номинальное напряжение 380 В,
тип напряжения переменное (AC), класс защиты IP20, монтаж на DIN-рейку да, максимальное сечение подключаемого кабеля 25 кв. мм, механизм расцепителя электромагнитный</t>
  </si>
  <si>
    <t xml:space="preserve">https://keaz.ru/catalog/product/293229</t>
  </si>
  <si>
    <t xml:space="preserve">https://ledgoods.ru/ehlektrotekhnika/vykljuchateli/vyklyuchateli-avtomaticheskie-trekhpolyusnye/avtomaticheskij-vyklyuchatel-optidin-bm63-3b16-uhl3-3p-260775-keaz/</t>
  </si>
  <si>
    <t xml:space="preserve">https://keaz.ru/catalog/product/260791</t>
  </si>
  <si>
    <t xml:space="preserve">Выключатель автоматический трехполюсный 25А OptiDin BM63) тип расцепления
С, отключающая способность 6 кА, количество полюсов 3, номинальное напряжение 380 В,
тип напряжения переменное (AC), класс защиты IP20, монтаж на DIN-рейку да, максимальное сечение подключаемого кабеля 25 кв. мм, механизм расцепителя электромагнитный</t>
  </si>
  <si>
    <t xml:space="preserve">https://keaz.ru/catalog/product/260794</t>
  </si>
  <si>
    <t xml:space="preserve">https://www.svelt.info/product/bm63-3c25-optidin-0401KZ00253/</t>
  </si>
  <si>
    <t xml:space="preserve">https://www.tesli.com/product/avtomaticheskiy-vyklyuchatel-keaz-1998583/</t>
  </si>
  <si>
    <t xml:space="preserve">Выключатель автоматический трехполюсный 6А  (OptiDin BM63) тип расцепления
С, отключающая способность 6 кА, количество полюсов 3, номинальное напряжение 380 В,
тип напряжения переменное (AC), класс защиты IP20, монтаж на DIN-рейку да, максимальное сечение подключаемого кабеля 25 кв. мм, механизм расцепителя электромагнитный</t>
  </si>
  <si>
    <t xml:space="preserve">https://shop220.ru/260787-keaz-optidin-bm63-avtomaticheskiy-vyklyuchatel-3p-6a-b-6ka-ac-bm63-3b6-uhl3-avtomat.htm</t>
  </si>
  <si>
    <t xml:space="preserve">https://www.svelt.info/product/bm63-3c6-optidin-0401KZ00260/</t>
  </si>
  <si>
    <t xml:space="preserve">https://electrictd.ru/catalog/nizkovoltnoe_oborudovanie/avtomaticheskie_vyklyuchateli_modulnye/vyklyuchatel_avtomaticheskiy_modulnyy_optidin_bm63_3c6_ukhl3_keaz/</t>
  </si>
  <si>
    <t xml:space="preserve">Гайки шестигранные оцинкованные диаметр резьбы:  4 мм, ГОСТ 5915-70</t>
  </si>
  <si>
    <t xml:space="preserve">https://smetiz.ru/tovary/gajki/gost-5915-70-d4-k5-mstal-pczink-h0-l0-ca2-akrupnyij-srossiya-117397/</t>
  </si>
  <si>
    <t xml:space="preserve">https://иж-тандем.рф/catalog/gayki_shestigrannye_din_934/gayka_shestigrannaya_m4_tsink_gost_5915_70_din_934/</t>
  </si>
  <si>
    <t xml:space="preserve">https://kst21.ru/catalog/gayka_shestigrannaya_gost_5915_5927_din_934/gayka_m_4_otsink_kl_pr_8_0_din_934_gost_5915/</t>
  </si>
  <si>
    <t xml:space="preserve">Гайки шестигранные оцинкованные диаметр резьбы:  5 мм, ГОСТ 5915-70</t>
  </si>
  <si>
    <t xml:space="preserve">https://нордком-карелия.рф/крепеж/гайка/класс_6_0/din934/?id=759699</t>
  </si>
  <si>
    <t xml:space="preserve">https://smetiz.ru/tovary/gajki/gost-5915-70-d5-k5-mstal-pbez-pokryitiya-h0-l0-ca2-akrupnyij-srossiya-121664/</t>
  </si>
  <si>
    <t xml:space="preserve">https://www.mtk-fortuna.ru/listdiams.aspx?gradeid=1520</t>
  </si>
  <si>
    <t xml:space="preserve">Герметик "Силикон" ГОСТ 25621-83, 250 г</t>
  </si>
  <si>
    <t xml:space="preserve">туб.</t>
  </si>
  <si>
    <t xml:space="preserve">https://megamarket.ru/catalog/details/germetik-silikonovyy-prozrachnyy-310-g-vysokotemperaturnyy-abro-ss-1200-clr-abro-art-ss-12-100025302233/</t>
  </si>
  <si>
    <t xml:space="preserve">https://www.chipdip.ru/product0/8022187512</t>
  </si>
  <si>
    <t xml:space="preserve">https://leroymerlin.ru/product/germetik-silikonovyy-abro-ss-1200-clr1200-prozrachnyy-310-ml-90342403/?utm_referrer=https%3A%2F%2Fyandex.ru%2Fsearch%2F%3Ftext%3D%25D0%25A1%25D0%25B8%25D0%25BB%25D0%25B8%25D0%25BA%25D0%25BE%25D0%25BD%25D0%25BE%25D0%25B2%25D1%258B%25D0%25B9%2B%25D0%25B3%25D0%25B5%25D1%2580%25D0%25BC%25D0%25B5%25D1%2582%25D0%25B8%25D0%25BA%2BABRO%2B%25D0%25BF%25D1%2580%25D0%25BE%25D0%25B7%25D1%2580%25D0%25B0%25D1%2587%25D0%25BD%25D1%258B%25D0%25B9%2B310%2B%25D0%25B3%2BSS-1200-CLR%26clid%3D2714389%26win%3D619%26lr%3D11064</t>
  </si>
  <si>
    <t xml:space="preserve">Зажим аппаратный А4А-120-4 </t>
  </si>
  <si>
    <t xml:space="preserve">https://welteks.ru/catalog/izolyatsionnye-materialy/nakonechnik-obzhimnoy-kabelnyy-dlya-alyuminievykh-/zazhim_apparatnyy_a4a_120_mzva_00000198/?ysclid=lnn8p5n7kl533616780</t>
  </si>
  <si>
    <t xml:space="preserve">https://rs24.ru/product/25213</t>
  </si>
  <si>
    <t xml:space="preserve">https://e-kc.ru/cena/zazhim-apparatnyj-a4a-120-elektrofarfor-00000198?ysclid=lnn8mkfhz8338709990</t>
  </si>
  <si>
    <t xml:space="preserve">Зажим аппаратный А4А-185-4</t>
  </si>
  <si>
    <t xml:space="preserve">https://welteks.ru/catalog/izolyatsionnye-materialy/nakonechnik-obzhimnoy-kabelnyy-dlya-alyuminievykh-/zazhim_apparatnyy_a4a_185_mzva_00000214/</t>
  </si>
  <si>
    <t xml:space="preserve">https://e-kc.ru/cena/zazhim-apparatnyj-a4a-185-elektrofarfor-00000214?ysclid=lnn8w3xh1d89807170</t>
  </si>
  <si>
    <t xml:space="preserve">https://rs24.ru/product/25207</t>
  </si>
  <si>
    <t xml:space="preserve">Зажим аппаратный А4А-240-4</t>
  </si>
  <si>
    <t xml:space="preserve">https://ooo-senar.ru/catalog/elektrotekhnicheskoe_oborudovanie/sistemy_dlya_prokladki_kabelya/kabelnaya_armatura_krepezh_i_aksessuary_dlya_kabelya/997905/?ysclid=lnn9cngb7q336264848</t>
  </si>
  <si>
    <t xml:space="preserve">https://rs24.ru/product/25210</t>
  </si>
  <si>
    <t xml:space="preserve">https://e-kc.ru/cena/zazhim-apparatnyj-a4a-240-elektrofarfor-00001006</t>
  </si>
  <si>
    <t xml:space="preserve">Кабель-канал с двойным замком белый 25х16 белый 2 метра</t>
  </si>
  <si>
    <t xml:space="preserve">https://www.vseinstrumenti.ru/product/minikanal-ekoplast-mex-25x16-mm-2m-77007-2-1168335/</t>
  </si>
  <si>
    <t xml:space="preserve">https://leroymerlin.ru/product/kabel-kanal-ekoplast-mex-25x16-mm-2-m-cvet-belyy-90287108/</t>
  </si>
  <si>
    <t xml:space="preserve">https://ecoplast-opt.ru/ekoplast-mex25-16-minikanal-25h16mm-ognestojkost-e110-2m-77007-2-e110</t>
  </si>
  <si>
    <t xml:space="preserve">Кабель-канал с двойным замком белый 32х25 белый 2 метра</t>
  </si>
  <si>
    <t xml:space="preserve">м</t>
  </si>
  <si>
    <t xml:space="preserve">https://www.etm.ru/cat/nn/9726743</t>
  </si>
  <si>
    <t xml:space="preserve">https://www.chipdip.ru/product0/8002394683</t>
  </si>
  <si>
    <t xml:space="preserve">https://alfasvet.pro/shop/product/pr-0540251-promrukav-kabel-kanal-40x25</t>
  </si>
  <si>
    <t xml:space="preserve">Снят с продажи размер 32х25мм, на согласование размер 40х25мм</t>
  </si>
  <si>
    <t xml:space="preserve">Кабельная стяжка с креплением 3,0 х 200. Нейлон 6.6 - стойкий к растворителям, смазкам и маслам</t>
  </si>
  <si>
    <t xml:space="preserve">https://leroymerlin.ru/product/kabelnaya-styazhka-suprlan-pod-vint-3x200-mm-neylon-cvet-belyy-100-sht-91123590/</t>
  </si>
  <si>
    <t xml:space="preserve">https://www.chipdip.ru/product0/8007195212</t>
  </si>
  <si>
    <t xml:space="preserve">https://www.vseinstrumenti.ru/product/nejlonovaya-styazhka-pod-vint-suprlan-3h200-mm-belaya-100pcs-06-1005-1363665/</t>
  </si>
  <si>
    <t xml:space="preserve">Кабельная стяжка с креплением 4,8 х 200 Нейлон 6.6 - стойкий к растворителям, смазкам и маслам</t>
  </si>
  <si>
    <t xml:space="preserve">https://www.etm.ru/cat/nn/4019286</t>
  </si>
  <si>
    <t xml:space="preserve">https://www.vseinstrumenti.ru/product/nejlonovyj-homut-so-stalnym-zubom-ekf-proxima-b-4x200-100-sht-plc-fl-ctsbw-4x200-4767342/</t>
  </si>
  <si>
    <t xml:space="preserve">https://www.minimaks.ru/product/styazhka-kabelnaya-khomut-4-8-200-s-montazhnym-otverstiem-chernaya-100-sht-upak-99699-npp-salyut/</t>
  </si>
  <si>
    <t xml:space="preserve">Кабельная стяжка с креплением 4,8 х 300 Нейлон 6.6 - стойкий к растворителям, смазкам и маслам</t>
  </si>
  <si>
    <t xml:space="preserve">https://www.vseinstrumenti.ru/product/montazhnyj-plastikovyj-homut-enkor-4-8x300-chernyj-100sht-29974-947192/</t>
  </si>
  <si>
    <t xml:space="preserve">https://market.yandex.ru/product--stiazhka-kabelnaia-khomut-stiazhnoi-rexant-07-0303/1780747277?nid=69167&amp;show-uid=17001976493428393136916012&amp;context=search&amp;text=стяжка%20нейлон%204%2C6*300мм&amp;uniqueId=778912&amp;sku=581462200&amp;cpc=dH31AT8YsOXl3kboE9xThXz0YUu1Ge3Lj_kMEoMcEytmC52tfHGV3dwgVrmu_tlBchoHV-8lv-A6UpmA0N5b8uCyWoYJf3x3JrcfnHul7eN-k-Sza87TTXIAkD0e5tqvwlkkQ9VlEljvzkhET9ezb4jgwv3nT1vO3RU9SHDei1h66iRkJIRZNpRNT-xWoqBTgf4fA__G4jI%2C&amp;do-waremd5=Fo3YmfzLGwDHtGhZS_aPNQ&amp;rs=eJwdj79LglEYha9IQmtj07cErbr1w7hEEOhizYKO_gmNF0GcdC1ouTREhEKNotl1cNVBG5OLU5M4uNv3nOXw8txzz3nfQjNbyUwzJviLVO3jV6qmdJlq7BbRd9S3ULeFu5Mr_D29no4gkV8hDiFHzL6M1h-U05engYZPSMjJU4Mkh8x2oPwXiD9T4wf7-LZ4V1ut5b-lPbn-Jv-Y2T3jsT_ndO3UtZL_FR62zC47xi-nW-CJThv-qsuQUy-wWzITv4ObEU4z1aVzeHKv25t0uT_utW_wuFHXRF03ylyq5QC_fVJvXq8duN3rtarbS-N_IdiUtA%2C%2C</t>
  </si>
  <si>
    <t xml:space="preserve">https://www.etm.ru/cat/nn/9869907</t>
  </si>
  <si>
    <t xml:space="preserve">Клей "Момент" ГОСТ 28780-90, 250г</t>
  </si>
  <si>
    <t xml:space="preserve">https://nevinnomyssk.kupi.ru/product/180-kley-spetsialnyy-moment-stolyar-770835763/</t>
  </si>
  <si>
    <t xml:space="preserve">https://www.onlinetrade.ru/catalogue/kley-c3491/moment/kley_dlya_dereva_moment_stolyar_422981_250_g-545082.html</t>
  </si>
  <si>
    <t xml:space="preserve">краска желтая «Нержамет» ТУ 2312-007-98310821-08</t>
  </si>
  <si>
    <t xml:space="preserve">https://kraski-dl.ru/product/kraska-nerzhamet-ral-1028-zhyoltaya-dynya-antiko/</t>
  </si>
  <si>
    <t xml:space="preserve">https://wooood.ru/catalog/emal/kraska_po_metallu_antikorrozionnaya_nerzhamet_10_kg/?oid=7108</t>
  </si>
  <si>
    <t xml:space="preserve">https://color-servis.ru/catalog/soputstvuyushchie_tovary/anti_koroziynye_kraski/923/</t>
  </si>
  <si>
    <t xml:space="preserve">краска зеленая «Нержамет» ТУ 2312-007-98310821-08</t>
  </si>
  <si>
    <t xml:space="preserve">https://kraski-dl.ru/product/kraska-nerzhamet-ral-6020-zelenyj-hrom-antikorrozionnaya-poluglyanczevaya-dlya-metalla-krasko/</t>
  </si>
  <si>
    <t xml:space="preserve">https://ral.ru.com/catalog/kraski-ral/kraska-po-rzhavchine-ral/grunt-emal-nerzhamet-po-rzhavchine-poluglyantsevaya-3-v-1-8-kg/</t>
  </si>
  <si>
    <t xml:space="preserve">https://spb-orion.ru/product/nerzhamet/</t>
  </si>
  <si>
    <t xml:space="preserve">краска красная «Нержамет» ТУ 2312-007-98310821-08</t>
  </si>
  <si>
    <t xml:space="preserve">https://kraski-dl.ru/product/kraska-nerzhamet-ral-3001-signalnyj-krasnyj/</t>
  </si>
  <si>
    <t xml:space="preserve">https://market.yandex.ru/catalog--emali/18060863/list?srnum=1&amp;was_redir=1&amp;rt=9&amp;rs=eJwdkD1Iw0AcxRNbm6JLHNRBJIeDg-Li5kchk3PRwfUQZzcddPDUwaKIOAmBQsDB4lAKUgVNNYNCMUovYDeRjG6Ki-Ci997y49279_-4m37Ile3NfLGb9Aa2p6u6mSp9pRs6MmpX6BtzbKQ7umV4fGH3FSvnR45b7x46OATfnYJ7kHYKj7YVPs8aylzJUDyB4de8of8DWqORYTYOHQd0TpCRb3TuQLHFzAi0fGHt6y1uJ-D7y3OoGmMygS-vocM2q04xPRtugQOgXEN_K09dQ63_jqT4gBYb97idZOcpcpF-Aqo6GK9zw1_W7vNdEt2sNuf2Q_sCm1gL6CCH4IhLznW55x9fV-Gth6TY49tXOGUV-Vix8yCYnUWcDq2qyKvPGUxZouOwmwftb_NnIm7SU_oHLUSnnw%2C%2C&amp;text=Нержамет%20красная&amp;hid=91605&amp;allowCollapsing=1&amp;local-offers-first=0&amp;glfilter=13887626%3A13891866</t>
  </si>
  <si>
    <t xml:space="preserve">https://lkmflot.ru/kraski-i-emali/naruzhnye-i-vnutrennie/krasko/kraska-grunt-dlya-metalla-krasko-nerzhamet/</t>
  </si>
  <si>
    <t xml:space="preserve">краска серая «Нержамет» ТУ 2312-007-98310821-08</t>
  </si>
  <si>
    <t xml:space="preserve">https://postroyka-nv.ru/catalog/show/Emal_NERZHAMETRAL7040seryj20kg</t>
  </si>
  <si>
    <t xml:space="preserve">https://market.yandex.ru/product--profi-roof/1824487696/spec?track=char</t>
  </si>
  <si>
    <t xml:space="preserve">https://ekb.pulscen.ru/products/grunt_emal_nerzhamet_49323632</t>
  </si>
  <si>
    <t xml:space="preserve">Краска синяя RAL 7032 (Алкидная антикоррозионная грунт-эмаль)</t>
  </si>
  <si>
    <t xml:space="preserve">https://color1.ru/alkidnaya-antikorrozionnaya-grunt-emal-indosingl-tsvet-ral-7032-1kg</t>
  </si>
  <si>
    <t xml:space="preserve">https://profkolor.ru/goods/Kod-po-katalogu-RAL7032-2K-antikorrozijnaya-akrilovaya-grunt-jemal-Naimenovanie-kraski-Kieselgrau-Seraya-galka</t>
  </si>
  <si>
    <t xml:space="preserve">https://leroymerlin-jeb.ru/tovary/stroitelstvo-i-remont/materialy/alkidnaya-antikorrozionnaya-grunt-emal-indosingl-cvet-ral-7034-1kg</t>
  </si>
  <si>
    <t xml:space="preserve">краска черная «Нержамет» ТУ 2312-007-98310821-08</t>
  </si>
  <si>
    <t xml:space="preserve">https://www.bafus.ru/200716029/</t>
  </si>
  <si>
    <t xml:space="preserve">https://kraski-dl.ru/product/kraska-nerzhamet-ral-9017-chyornyj-transportny/</t>
  </si>
  <si>
    <t xml:space="preserve">Круг отрезной 125*1,2*22</t>
  </si>
  <si>
    <t xml:space="preserve">https://new.optorg.ru/catalog/instrument_i_oborudovanie/rashodnye_materialy_i_osnastka/krugi_abrazivnye_otreznye_i_voylochnye/242843/</t>
  </si>
  <si>
    <t xml:space="preserve">https://krasnodar.vseinstrumenti.ru/product/krug-otreznoj-po-metallu-a46tbf-125h1-2h22-2-mm-kraton-1-07-02-020-813119/</t>
  </si>
  <si>
    <t xml:space="preserve">https://www.kubaninstrument.ru/catalog/item/krug_otreznoy_po_metallu_kraton_profi_a_46_tbf_125_1_2_22_2mm_10702020?ysclid=lnmx9w3rnw356368720</t>
  </si>
  <si>
    <t xml:space="preserve">Круг отрезной 125*3*22</t>
  </si>
  <si>
    <t xml:space="preserve">https://krasnodar.vseinstrumenti.ru/product/krug-otreznoj-po-metallu-a24tbf-125h3-0h22-2-mm-kraton-1-07-02-007-813100/?ysclid=lnmxk17cau549150643</t>
  </si>
  <si>
    <t xml:space="preserve">https://www.chipdip.ru/product0/8742623902?ysclid=lnmxmck43l975463118</t>
  </si>
  <si>
    <t xml:space="preserve">https://bs-shop.ru/product/krug-otreznoj-po-metallu-a24tbf-125h3-0h22-2-mm-kraton-1-07/</t>
  </si>
  <si>
    <t xml:space="preserve">Круг отрезной 150*1,2*22</t>
  </si>
  <si>
    <t xml:space="preserve">https://krepi-mir.ru/catalog/osnastka_i_raskhodnye_materialy/krugi_abrazivnye/krugi_po_metallu/190632/?ysclid=lnmypxia3u763067957</t>
  </si>
  <si>
    <t xml:space="preserve">https://www.chipdip.ru/product1/8021359034?ysclid=lnmyaqcnxm877438314</t>
  </si>
  <si>
    <t xml:space="preserve">https://avgit-tools.ru/catalog/osnastka_i_raskhodnye_materialy/raskhodnye-materialy-dlya-instrumenta/diski-abrazivnye/diski-abrazivnye-otreznye/diski-abrazivnye-otreznye-po-metallu/120719/</t>
  </si>
  <si>
    <t xml:space="preserve">Круг отрезной 150*3*22</t>
  </si>
  <si>
    <t xml:space="preserve">https://www.sovis.ru/catalog/abrazivnyj-instrument/krugiotrez/21/?ysclid=lnn9rmxd38595910647</t>
  </si>
  <si>
    <t xml:space="preserve">https://specinstrument.ru/catalog/hand_tool/instrument_dlya_metalloobrabotki/abrazivnye_materialy/krugi_otreznye_po_metallu/krug_otreznoy_150kh3kh22_po_metallu_41_150_3_22_23_a_24_r_s_bf_80_2_ex_/?ysclid=lnn9q9c051980237603</t>
  </si>
  <si>
    <t xml:space="preserve">https://terra-tools.ru/products/krug_otreznoy_po_metallu_luga_150kh3_0kh22_a_24_s_bf_80_14a_bu/?ysclid=lnn9nby9ae714993313</t>
  </si>
  <si>
    <t xml:space="preserve">Круги отрезные 230*1,9</t>
  </si>
  <si>
    <t xml:space="preserve">https://www.kuvalda.ru/catalog/4846/product-92818/?ysclid=lnmz7sg76l462328381</t>
  </si>
  <si>
    <t xml:space="preserve">https://www.kubaninstrument.ru/catalog/item/krug_otreznoy_po_metallu_kraton_a_46_tbf_230_22_2_1_8_10702005?ysclid=lnmz7yzmjm174292801</t>
  </si>
  <si>
    <t xml:space="preserve">https://new.optorg.ru/catalog/instrument_i_oborudovanie/rashodnye_materialy_i_osnastka/krugi_abrazivnye_otreznye_i_voylochnye/241265/?ysclid=lnmz5vno2k572219356</t>
  </si>
  <si>
    <t xml:space="preserve">У Вас опечатка. 1,9 не существует. Предлагаю 1,8</t>
  </si>
  <si>
    <t xml:space="preserve">Лампа 11 Вт, Е27</t>
  </si>
  <si>
    <t xml:space="preserve">https://www.chipdip.ru/product0/8016294175</t>
  </si>
  <si>
    <t xml:space="preserve">https://novorossiysk.vseinstrumenti.ru/product/lampa-iek-seriya-360-led-a60-prozrachnaya-11vt-230v-6500k-e27-llf-a60-11-230-65-e27-cl-1538944/?ysclid=lnn4s6w0qy287961277</t>
  </si>
  <si>
    <t xml:space="preserve">https://leroymerlin.ru/product/lampa-svetodiodnaya-iek-llf-a60-11-230-65-e27-cl-e27-230-v-11-vt-grusha-prozrachnaya-1320-lm-holodnyy-belyy-svet-90786233/?ysclid=lnn4se219n366732498&amp;utm_referrer=https%3A%2F%2Fya.ru%2F</t>
  </si>
  <si>
    <t xml:space="preserve">лампа 12 В, АСВ 5 12В/МО/Е24</t>
  </si>
  <si>
    <t xml:space="preserve">https://rs24.ru/product/479121</t>
  </si>
  <si>
    <t xml:space="preserve">https://shop220.ru/902502212-lampa-svetodiodnaya-nizkovoltnaya-varton-12w-4000k-24-36v-ac-dc-e27-1000lm-60h125mm.htm</t>
  </si>
  <si>
    <t xml:space="preserve">https://www.rusest.com/katalog/nizkovoltnye-svetilniki/nizkovoltnaya_svetodiodnaya_lampa_varton_12vt_e27_12v_ac_dc_4000k/</t>
  </si>
  <si>
    <t xml:space="preserve">На согласование цоколь Е24 не существует, есть цоколь Е27</t>
  </si>
  <si>
    <t xml:space="preserve">Лампа E27 PHILIPS-11W  220-240V 11W, Арт 930-036, Нейтральный свет</t>
  </si>
  <si>
    <t xml:space="preserve">https://electrovent.ru/elektrotehnicheskie-tovary/lampy/energosberegayuschie-lampy/energosberegayuschaya-lampa-philips-softone-esaver-11w-827-e27-230-240v-t60/</t>
  </si>
  <si>
    <t xml:space="preserve">https://ledgoods.ru/osveshchenie/lamps/lampy-ehnergosberegayushchie-kll/lampa-lyuminescentnaya-kll-genie-es-11w-ww-e27-220-240v-1pf-6-871150080119710-ph80119710-philips/</t>
  </si>
  <si>
    <t xml:space="preserve">https://www.smartlamps.ru/products/softone-esaver-11w-827-e27-230-240v-t60-d60x114-philips-lampa</t>
  </si>
  <si>
    <t xml:space="preserve">лампа L 36W/765 G13 </t>
  </si>
  <si>
    <t xml:space="preserve">https://www.etm.ru/cat/nn/7877594?ysclid=lnndjacmiy1295913&amp;city=77</t>
  </si>
  <si>
    <t xml:space="preserve">https://rs24.ru/product/18409</t>
  </si>
  <si>
    <t xml:space="preserve">https://www.minimaks.ru/product/lampa-lineynaya-lyuminestsentnaya-ll-36vt-l-36w-765-t8-g13-kholodnaya-dnevnaya-smolensk-405289935283/?ysclid=lnndjf9y5h297468135</t>
  </si>
  <si>
    <t xml:space="preserve">лампа l-18w-765</t>
  </si>
  <si>
    <t xml:space="preserve">https://www.minimaks.ru/product/lampa-lineynaya-lyuminestsentnaya-ll-18vt-l18w-765-t8-g13-kholodnaya-dnevnaya-smolensk-4052899209084/?ysclid=lnn2jmmu1999012981</t>
  </si>
  <si>
    <t xml:space="preserve">https://www.chipdip.ru/product0/8010880021?ysclid=lnn2jf9bim738384780</t>
  </si>
  <si>
    <t xml:space="preserve">https://www.etm.ru/cat/nn/9734602?ysclid=lnn2j6sggf617444979&amp;city=77</t>
  </si>
  <si>
    <t xml:space="preserve">Лампа Айсберг 40Вт 220 В Р-65</t>
  </si>
  <si>
    <t xml:space="preserve">https://terra-led.ru/svetilnik_aysberg_ip65/svetilnik-aysberg-40-vt-5000-lm-ip65-s-bap-na-1-5-chasa/</t>
  </si>
  <si>
    <t xml:space="preserve">https://nevinnomyssk.kupi.ru/product/180-svetilnik-aysberg-40w-5000lm-ip65-877880802/</t>
  </si>
  <si>
    <t xml:space="preserve">https://led-comp.ru/svetodiodnye-svetilniki/295611.html</t>
  </si>
  <si>
    <t xml:space="preserve">лампа люминесцентная G13, T8, 36Вт</t>
  </si>
  <si>
    <t xml:space="preserve">https://www.vseinstrumenti.ru/product/lampa-lyuminestsentnaya-camelion-ft8-36w-54-6500k-3009-518866/</t>
  </si>
  <si>
    <t xml:space="preserve">https://www.etm.ru/cat/nn/9453860</t>
  </si>
  <si>
    <t xml:space="preserve">https://www.komus.ru/katalog/katalog-instrumentov/elektrika-i-svet/lampochki/lyuminestsentnye-lampy/lampa-lyuminestsentnaya-osram-l36w-830-36-vt-g13-t8-3000-k-4050300517896-25-shtuk-v-upakovke-/p/293404/?from=block-301-0_4</t>
  </si>
  <si>
    <t xml:space="preserve">Лампа накаливания МО 12-60 ГОСТ Р 52706-2007</t>
  </si>
  <si>
    <t xml:space="preserve">https://www.electro-mpo.ru/catalog/lampy_elektropatrony/l17_lampy_nakalivaniya_nizkogo_napryazheniya_rossi/l1710_lampa_60vt_mo_12_60_12v_e27_nakalivaniya_mes/</t>
  </si>
  <si>
    <t xml:space="preserve">https://rubilnik.ru/catalog/lampy/lampy_nakalivaniya_1/lampa_nakalivaniya_standartnaya_lon_mo/47773/</t>
  </si>
  <si>
    <t xml:space="preserve">https://connect.u-energo.ru/product/_Nff2465a9-d92e-11dd-a3cd-b6325bf879be</t>
  </si>
  <si>
    <t xml:space="preserve">Лампа накаливания ПЖ-220-500 ГОСТ Р 52706-2007</t>
  </si>
  <si>
    <t xml:space="preserve">https://uprawa.ru/catalog/item/007185?ysclid=lnnbnb0zjq36284030</t>
  </si>
  <si>
    <t xml:space="preserve">https://pitersvet.ru/pzh-220-500.html?ysclid=lnnb5muiqf322051008</t>
  </si>
  <si>
    <t xml:space="preserve">https://electrictd.ru/catalog/lampy/lampy_prozhektornye_s_tsokolem_r7s_r40s_e40/lampa_nakalivaniya_prozhektornaya_pzh_500vt_5_220v_e40_lisma/?ysclid=lnnbnkell0896122352</t>
  </si>
  <si>
    <t xml:space="preserve">Лампа светодиодная 94 064 NLL-T8-11-230-6.5K-G13 11Вт линейная 6500К холод. бел. G13 1100лм 150-250В Navigator 18878 длина ламы 600 мм</t>
  </si>
  <si>
    <t xml:space="preserve">https://rs24.ru/product/300603</t>
  </si>
  <si>
    <t xml:space="preserve">https://navigator-light.ru/lamps/led/linejnyie-nll-t8/seriya-lamp-nll-t8/94064.html?ysclid=lnndotzqwm960631244</t>
  </si>
  <si>
    <t xml:space="preserve">https://www.chipdip.ru/product0/8148733634?ysclid=lnndp1v7h7648054465</t>
  </si>
  <si>
    <t xml:space="preserve">Лампа светодиодная 94 391 NLL-T8-22-230-4K-G13 22Вт линейная 4000К белый G13 2000лм 170-260В Navigator 18312 длина лампы 1200 мм</t>
  </si>
  <si>
    <t xml:space="preserve">https://www.chipdip.ru/product0/8173557661?ysclid=lnnduye3ft880435890</t>
  </si>
  <si>
    <t xml:space="preserve">https://rs24.ru/product/165966</t>
  </si>
  <si>
    <t xml:space="preserve">https://www.etm.ru/cat/nn/1811446?ysclid=lnndurbfbl890260666&amp;city=77</t>
  </si>
  <si>
    <t xml:space="preserve">Лампа энергосберегающая SUNTONE Т5 4W 6400K</t>
  </si>
  <si>
    <t xml:space="preserve">https://ledpremium.ru/catalog/lampy-lyuminescentnye-dvuhcokolynye/lampa_lyuminestsentnaya_dvukhtsokolnaya_est14_t5_g5_21w_6400k/</t>
  </si>
  <si>
    <t xml:space="preserve">https://www.etm.ru/cat/nn/9828096?city=77</t>
  </si>
  <si>
    <t xml:space="preserve">https://dc-electro.ru/catalog/products/est14-t5-21w-g5-6400k/</t>
  </si>
  <si>
    <t xml:space="preserve">На согласование замена Лампа энергосберегающая производителя SUNTONE Т5 4W 6400K, т. к. нет на рынке</t>
  </si>
  <si>
    <t xml:space="preserve">Лампа энергосберегающая Е14 15W</t>
  </si>
  <si>
    <t xml:space="preserve">https://flipzip.ru/product/energosberegaushhaya-kompaktnaya-lampa-dulux-superstar-micro-twist-15vt-827-e14-osram-4052899917750--45947470</t>
  </si>
  <si>
    <t xml:space="preserve">https://electrikmart.ru/svetotehnicheskie-izdeliya/lampa-ljuminescentnaja-kompaktnaja-integrirovannaja/lampa-lyuminescentnaya-kompakt-dulux-superstar-micro-twist-15w827-15vt-e14-spiralnaya-2700k-osram-4052899917750</t>
  </si>
  <si>
    <t xml:space="preserve">https://www.chipdip.ru/product0/8013319622</t>
  </si>
  <si>
    <t xml:space="preserve">Лампа энергосберегающая Е27 11W</t>
  </si>
  <si>
    <t xml:space="preserve">https://moskva.kupi.ru/product/173-lampa-svetodiodnaya-grusha-11vt-751804599/</t>
  </si>
  <si>
    <t xml:space="preserve">https://svet-v-dome.ru/svet/lampy/lampy-energosberegayushchie/lampy-energosberegayushchie-wolta/lampa-energosberegayushchaya-r63-11vt-e27-2700k</t>
  </si>
  <si>
    <t xml:space="preserve">https://satom.ru/p/1328123563-lampa-svetodiodnaya-philips-ecohome-bulb-840-e27-11-vt-4000-k-950-lm-grusha/</t>
  </si>
  <si>
    <t xml:space="preserve">Лампа энергосберегающая Е27 15W</t>
  </si>
  <si>
    <t xml:space="preserve">https://hoff.ru/catalog/tovary_dlya_doma/osveschenie/lampochki_i_soputstvuyuschie_tovary/lampy_svetodiodnye/lampa_svetodiodnaya_crystal_id9220389/?articul=80521779</t>
  </si>
  <si>
    <t xml:space="preserve">https://www.mebelion.ru/catalog/VG10-A1E27cold15W-F.html</t>
  </si>
  <si>
    <t xml:space="preserve">https://www.vamsvet.ru/catalog/product/lampa_svetodiodnaya_e27_15w_4000k_grusha_prozrachnaya_vg10_a1e27cold15w_f_7103/</t>
  </si>
  <si>
    <t xml:space="preserve">Лампа энергосберегающая Е40 65W</t>
  </si>
  <si>
    <t xml:space="preserve">https://rs24.ru/product/2791430</t>
  </si>
  <si>
    <t xml:space="preserve">https://www.vseinstrumenti.ru/product/svetodiodnaya-lampa-ergolux-led-hw-65w-e40-6k-seriya-pro-65vt-e27-e40-6500k-150-260v-14330-2148745/</t>
  </si>
  <si>
    <t xml:space="preserve">https://ledpremium.ru/catalog/lampy-svetodiodnye-vysokoy-moschnosti/lampa_svetodiodnaya_led_hw_65w_e40_6k_pro_65vt_e27_e40_6500k_150_260v_ergolux_14330/</t>
  </si>
  <si>
    <t xml:space="preserve">Лампа энергосберегающая КЛЛ 45/842 E27 D64x157 спираль Космос</t>
  </si>
  <si>
    <t xml:space="preserve">https://www.etm.ru/cat/nn/9053610?city=77</t>
  </si>
  <si>
    <t xml:space="preserve">https://electro-materiali.ru/catalog/lampy-istochniki-sveta/lampy-luminestsentnye/lampy-kompaktnye-lyuministsentnye-i-lyuministsentnye-uniel/102649/</t>
  </si>
  <si>
    <t xml:space="preserve">https://elkon.su/lampa-energosberegayushchaya-kll-45-842-e27-d64x157-spiral-kosmos/</t>
  </si>
  <si>
    <t xml:space="preserve">металл рукав 16 мм в ПВХ изоляции с протяжкой</t>
  </si>
  <si>
    <t xml:space="preserve">https://www.etm.ru/cat/nn/8539660</t>
  </si>
  <si>
    <t xml:space="preserve">https://rs24.ru/product/2123801</t>
  </si>
  <si>
    <t xml:space="preserve">https://www.vseinstrumenti.ru/product/metallorukav-fortisflex-r3-tspng-ls-16-s-protyazhkoj-87691-9137246/</t>
  </si>
  <si>
    <t xml:space="preserve">Моющее средство МС-18</t>
  </si>
  <si>
    <t xml:space="preserve">https://nevinnomissk.promportal.su/goods/37468248/labomid-203.htm</t>
  </si>
  <si>
    <t xml:space="preserve">https://fedexpert.ru/catalog/khimiya/moyushchie_sredstva/tekhnicheskie_moyushchie_sredstva/8594/</t>
  </si>
  <si>
    <t xml:space="preserve">https://www.eko-tec.ru/product/5166279/</t>
  </si>
  <si>
    <t xml:space="preserve">на согласование замена МС-18 на Лабомид</t>
  </si>
  <si>
    <t xml:space="preserve">Моющее средство МС-203</t>
  </si>
  <si>
    <t xml:space="preserve">https://stavropol.pulscen.ru/products/labomid_203_fasovka_35_kg_59604586</t>
  </si>
  <si>
    <t xml:space="preserve">https://www.aquateka.ru/?cat=products&amp;prod=tehnicheskoe-moyushee-sredstvo-labomid-203-40-kg-650040</t>
  </si>
  <si>
    <t xml:space="preserve">https://www.td-polimer54.ru/goods/84558460-labomid_203</t>
  </si>
  <si>
    <t xml:space="preserve">Наконечник кабельный медные луженные ТМЛ-8</t>
  </si>
  <si>
    <t xml:space="preserve">https://www.elektro.ru/product/nakonechnik_mednyy_luzhenyy_tl_16-8-6/</t>
  </si>
  <si>
    <t xml:space="preserve">https://www.etm.ru/cat/nn/851292?city=77</t>
  </si>
  <si>
    <t xml:space="preserve">https://ielectrik.ru/product/zeta_nakonechnik_mednyy_lujenyy_tml_16-8-6.html</t>
  </si>
  <si>
    <t xml:space="preserve">Наконечник кабельный медный луженный ТМЛ-5</t>
  </si>
  <si>
    <t xml:space="preserve">https://www.etm.ru/cat/nn/9716468</t>
  </si>
  <si>
    <t xml:space="preserve">https://www.electro-master.ru/catalog/nakonechniki_i_gilzy_mednye_tml_gml_nshp/nakonechnik_mednyy_luzhenyy_tml_10_5_5_kvt/</t>
  </si>
  <si>
    <t xml:space="preserve">https://elektrikapro.ru/catalog/nakonechniki_gilzy_dlya_kabelya/661513/</t>
  </si>
  <si>
    <t xml:space="preserve">предохранитель НПН2-100 А 0,4 кВ</t>
  </si>
  <si>
    <t xml:space="preserve">https://www.vseinstrumenti.ru/product/plavkaya-vstavka-keaz-pn2-100-100a-u3-keaz-110863-1188899/</t>
  </si>
  <si>
    <t xml:space="preserve">https://ledpremium.ru/catalog/plavkiy-predokhranitel-nizkovoltnyy-nozhevoy/vstavka_plavkaya_pn2_100_100a_u3_keaz_110863/</t>
  </si>
  <si>
    <t xml:space="preserve">https://www.etm.ru/cat/nn/9767170</t>
  </si>
  <si>
    <t xml:space="preserve">предохранитель НПН2-150 А 0,4 кВ</t>
  </si>
  <si>
    <t xml:space="preserve">https://www.minimaks.ru/product/predokhranitel-160a-gabarit-00-ppn-33-160-160-fus-33-160-ekf/</t>
  </si>
  <si>
    <t xml:space="preserve">https://www.etm.ru/cat/nn/7106459?city=77</t>
  </si>
  <si>
    <t xml:space="preserve">https://www.vseinstrumenti.ru/product/plavkaya-vstavka-ekf-ppn-33-160-160a-gabarit-00-fus-33-160-2053806/</t>
  </si>
  <si>
    <t xml:space="preserve">на согласование замена предохранитель НПН2-160А 0,4 кВ</t>
  </si>
  <si>
    <t xml:space="preserve">предохранитель НПН2-250 А 0,4 кВ</t>
  </si>
  <si>
    <t xml:space="preserve">https://www.etm.ru/cat/nn/9767171</t>
  </si>
  <si>
    <t xml:space="preserve">https://www.elprom-st.ru/predohraniteli-0-4-10-kv/nizkovoltnye-predohraniteli-obschepromyshlennye-gg-am/pn2-plavkie-predohraniteli/predohranitel_pn2-250-10_uhl3_250a</t>
  </si>
  <si>
    <t xml:space="preserve">https://aps-shop.ru/predohranitel-pn2-250-100a-predohranitel-vstavka-plavkaya-nozh-med/</t>
  </si>
  <si>
    <t xml:space="preserve">предохранитель НПН2-63 А 0,4 кВ</t>
  </si>
  <si>
    <t xml:space="preserve">https://ems-market.ru/catalog/ustrojstva_zasity_plavkie_predohraniteli_modul_nye_ustrojstvamontaznye_ustrojstva/vstavka_cilindriceskogo_predohranitela/vstavka_plavkaya_npn2_60_63a_u3_keaz_110781/</t>
  </si>
  <si>
    <t xml:space="preserve">https://aps-shop.ru/plavkaya-vstavka-npn-2-60-63a-110781-keaz/</t>
  </si>
  <si>
    <t xml:space="preserve">https://orenburg.kupi.ru/product/204-predokhranitel-plavkaya-764673757/</t>
  </si>
  <si>
    <t xml:space="preserve">Провод ПВС 3х2,5</t>
  </si>
  <si>
    <t xml:space="preserve">https://electrika-dom-stroyka.ru/catalog/provoda-s-mednoy-tokoprovodyashchey-zhiloy/alfakabel-provod-soedinitelnyy-pvs-3kh2-5-trts/?ysclid=lnn2tuef1v442949685</t>
  </si>
  <si>
    <t xml:space="preserve">https://novorossiysk.vseinstrumenti.ru/product/provod-pvs-alfakabel-3h2-5-mm-gost-10-m-05050-1490622/?ysclid=lnn2t7aeru675663942</t>
  </si>
  <si>
    <t xml:space="preserve">https://www.etm.ru/cat/nn/7257354</t>
  </si>
  <si>
    <t xml:space="preserve">Прожектор светодиодный 100 Ват IP65</t>
  </si>
  <si>
    <t xml:space="preserve">https://www.vseinstrumenti.ru/product/svetodiodnyj-prozhektor-gauss-elementary-100w-9475lm-ip65-4000k-chernyj-1-4-613100110-1651565/</t>
  </si>
  <si>
    <t xml:space="preserve">https://www.etm.ru/cat/nn/8135092?city=77</t>
  </si>
  <si>
    <t xml:space="preserve">https://ledpremium.ru/catalog/day_white_foodlight/prozhektor_gauss_elementary_100w_9475lm_4000k_175_265v_ip65_chernyy_led/</t>
  </si>
  <si>
    <t xml:space="preserve">Прожектор светодиодный 30 Ват IP65</t>
  </si>
  <si>
    <t xml:space="preserve">https://www.etm.ru/cat/nn/6109840</t>
  </si>
  <si>
    <t xml:space="preserve">https://elektrostandard.net/catalog/prozhektor_svetodiodnyy_ul_00007122_uniel_30w_ulf_f60_30w_rgb_ip65_200_240v_black/</t>
  </si>
  <si>
    <t xml:space="preserve">https://mnogo-santehniki.ru/m634/p22040185?utm_referrer=https%3A%2F%2Fyandex.ru%2Fsearch%2F%3Ftext%3D%25D0%25A1%25D0%25B2%25D0%25B5%25D1%2582%25D0%25BE%25D0%25B4%25D0%25B8%25D0%25BE%25D0%25B4%25D0%25BD%25D1%258B%25D0%25B9%2B%25D0%25BF%25D1%2580%25D0%25BE%25D0%25B6%25D0%25B5%25D0%25BA%25D1%2582%25D0%25BE%25D1%2580%2BUniel%2B30W%2B3000K%2BIP65%2B200-250%25D0%2592%2BBLACK%2BULF-F21%2BUL-00007732%26clid%3D2714389%26win%3D619%26lr%3D11064%26p%3D3</t>
  </si>
  <si>
    <t xml:space="preserve">Прожектор светодиодный 300 Ват IP65</t>
  </si>
  <si>
    <t xml:space="preserve">https://feron-russia.ru/svetodiodnyj-prozhektor-feron-ll-926-ip65-300w-6400k</t>
  </si>
  <si>
    <t xml:space="preserve">https://www.onlinetrade.ru/catalogue/prozhektory-c1495/feron/prozhektor_feron_ll_926_300w_6400k_29501_29501_feron-2618395.html</t>
  </si>
  <si>
    <t xml:space="preserve">https://www.dialelectro.ru/catalog/svetodiodnye-prozhektory-/svetodiodnyy-prozhektor-feron-ll-926-ip65-300w-6400k/</t>
  </si>
  <si>
    <t xml:space="preserve">Прожектор светодиодный 50 Ват IP65</t>
  </si>
  <si>
    <t xml:space="preserve">https://innokor.ru/catalog/svetodiodnye-prozhektory/50vt/svetodiodnyy_prozhektor_pfl_as_50w_4000k_ip65/</t>
  </si>
  <si>
    <t xml:space="preserve">https://dc-electro.ru/catalog/products/prozhektor-svetodiodnyy-pfl-s2-smd-50w-50vt-ip65-s-klapanom-jazzway-2853301d/</t>
  </si>
  <si>
    <t xml:space="preserve">https://www.citilink.ru/product/prozhektor-ulichnyi-gauss-elementary-613527100-100vtchernyi-1382375/</t>
  </si>
  <si>
    <t xml:space="preserve">Прожектор светодиодный IP 65 150 Вт.</t>
  </si>
  <si>
    <t xml:space="preserve">https://leroymerlin.ru/product/prozhektor-svetodiodnyy-ulichnyy-uniel-f20-ul-00005157-6500-k-ip65-15000-lm-93809091/</t>
  </si>
  <si>
    <t xml:space="preserve">https://ledpremium.ru/catalog/kholodnyy_belyy/philips_bvp150_led127_cw_150w_220_240v_4_160/</t>
  </si>
  <si>
    <t xml:space="preserve">https://www.onlinetrade.ru/catalogue/prozhektory-c1495/uniel/prozhektor_uniel_ulf_f20_150w_4000k_ip65_195_250v_black_ul_00005156-2088377.html</t>
  </si>
  <si>
    <t xml:space="preserve">Прожектор светодиодный IP 65 30 Вт.</t>
  </si>
  <si>
    <t xml:space="preserve">https://www.vseinstrumenti.ru/product/svetodiodnyj-prozhektor-gauss-elementary-s-30w-2100lm-6500k-175-265v-ip65-chernyj-s-datchikom-dvizheniya-led-1-20-sq628511330-942646/</t>
  </si>
  <si>
    <t xml:space="preserve">https://ledpremium.ru/catalog/kholodnyy_belyy/prozhektor_svetodiodnyy_qplus_30vt_6500k_2550lm_ip65_grafit_ser_1_10_gauss_690511330/</t>
  </si>
  <si>
    <t xml:space="preserve">https://stavropol.220-volt.ru/catalog-580244/</t>
  </si>
  <si>
    <t xml:space="preserve">Саморез по металлу оцинкованный 15</t>
  </si>
  <si>
    <t xml:space="preserve">https://www.vseinstrumenti.ru/product/samorez-bullit-shsmm-pressshajba-sverlo-4-2x16-200-sht-pl-kont-280-ml-14-0019090-1063063/</t>
  </si>
  <si>
    <t xml:space="preserve">https://www.mdm-complect.ru/catalog/samorezy/8917/</t>
  </si>
  <si>
    <t xml:space="preserve">https://1001krep.ru/samorez-din-7504p-s-potaynoy-golovkoy-sverlom-nerzh-a2-3-5x16mm-artikul-57168</t>
  </si>
  <si>
    <t xml:space="preserve">Саморез по металлу оцинкованный 25</t>
  </si>
  <si>
    <t xml:space="preserve">https://stavropol.leroymerlin.ru/product/samorezy-s-press-shayboy-standers-42x25-ocinkovannye-s-ostrym-nakonechnikom-82182112/</t>
  </si>
  <si>
    <t xml:space="preserve">https://krepcom.ru/catalog/samorezy/samorezyi_4_2h25_pressshayba__sverlo__tsink_10000_.htm</t>
  </si>
  <si>
    <t xml:space="preserve">https://mnogo-santehniki.ru/m553/p14716?utm_referrer=https%3A%2F%2Fyandex.ru%2Fsearch%2F%3Ftext%3D%25D1%2581%25D0%25B0%25D0%25BC%25D0%25BE%25D1%2580%25D0%25B5%25D0%25B7%25D1%258B%2B%25D1%2581%2B%25D0%25BF%25D1%2580%25D0%25B5%25D1%2581%25D1%2581-%25D1%2588%25D0%25B0%25D0%25B9%25D0%25B1%25D0%25BE%25D0%25B9%2Bstanders%2B4.2x25%2B%25D0%25BE%25D1%2586%25D0%25B8%25D0%25BD%25D0%25BA%25D0%25BE%25D0%25B2%25D0%25B0%25D0%25BD%25D0%25BD%25D1%258B%25D0%25B5%2B%25D1%2581%2B%25D0%25BE%25D1%2581%25D1%2582%25D1%2580%25D1%258B%25D0%25BC%2B%25D0%25BD%25D0%25B0%25D0%25BA%25D0%25BE%25D0%25BD%25D0%25B5%25D1%2587%25D0%25BD%25D0%25B8%25D0%25BA%25D0%25BE%25D0%25BC%252C%2B20%2B%25D1%2588%25D1%2582.%2B%25D1%2586%25D0%25B5%25D0%25BD%25D0%25B0%26lr%3D11064%26clid%3D2714389%26win%3D619%26src%3Dsuggest_Pers</t>
  </si>
  <si>
    <t xml:space="preserve">Саморез по металлу оцинкованный 32</t>
  </si>
  <si>
    <t xml:space="preserve">https://leroymerlin.ru/product/samorezy-s-press-shayboy-standers-42x32-ocinkovannye-s-ostrym-nakonechnikom-82182121/</t>
  </si>
  <si>
    <t xml:space="preserve">https://www.etm.ru/cat/nn/2047905?city=77</t>
  </si>
  <si>
    <t xml:space="preserve">https://mnogo-santehniki.ru/m553/p14667</t>
  </si>
  <si>
    <t xml:space="preserve">Светильник "Армстронг 27Вт-2800 Люмен"</t>
  </si>
  <si>
    <t xml:space="preserve">https://energo-vector.ru/catalog/ofisnye-svetodiodnye-svetilniki/svetilniki-armstrong/1100/</t>
  </si>
  <si>
    <t xml:space="preserve"> https://colorsvet.ru/svetodiodnye-svetilniki-armstrong-595x595/svetodiodnyj-svetilnik-varton-a070-27w-ip20-3000k-v1-a0-00070-01000-2002730</t>
  </si>
  <si>
    <t xml:space="preserve">https://inventrade.ru/catalog/vnutrennee_osveshchenie/ofisnoe_osveshchenie/varton_a070/</t>
  </si>
  <si>
    <t xml:space="preserve">Светильник Matrixs S-150D U=220B, P= 150Bт,</t>
  </si>
  <si>
    <t xml:space="preserve">http://comoflight.com/ulichnyy-svetilnik-matrix-s-150/?ysclid=lnnebctuin317572966</t>
  </si>
  <si>
    <t xml:space="preserve">http://td-intesso.regtorg.ru/catalog/ulichnyj_svetodiodnyj_svetilnik_matrix_s150-154355.htm</t>
  </si>
  <si>
    <t xml:space="preserve">https://td-intesso.ctly.ru/products/b3691763-matrix-s-150-svetilnik-ulichnyy-svetodiodnyy</t>
  </si>
  <si>
    <t xml:space="preserve">Лампа светодиодная 12 В 15 Вт, Е27</t>
  </si>
  <si>
    <t xml:space="preserve">https://www.vseinstrumenti.ru/product/lampa-gauss-led-elementary-a60-15w-e27-1480lm-6500k-23235-942504/</t>
  </si>
  <si>
    <t xml:space="preserve">https://www.etm.ru/cat/nn/8532745</t>
  </si>
  <si>
    <t xml:space="preserve">https://leroymerlin.ru/product/lampa-svetodiodnaya-osram-grusha-15vt-1521lm-e27-holodnyy-belyy-svet-85099643/</t>
  </si>
  <si>
    <t xml:space="preserve">Светодиодная лампа ЭРА LED smd A60-10W-827-E27</t>
  </si>
  <si>
    <t xml:space="preserve">https://www.eldorado.ru/cat/detail/svetodiodnaya-lampa-era-led-smd-a60-10w-827-e27/</t>
  </si>
  <si>
    <t xml:space="preserve">https://www.onlinetrade.ru/catalogue/lampy_svetodiodnye-c4529/era/svetodiodnaya_lampa_era_led_smd_a60_10w_827_e27_6_30_1440-298841.html</t>
  </si>
  <si>
    <t xml:space="preserve">https://www.nix.ru/autocatalog/LED_Light_Bulbs_E27/ERA-smd-A60-15W-827-E27-E27-1300-lyumen-2700K-15Vt-170-265V_295702.html</t>
  </si>
  <si>
    <t xml:space="preserve">Светодиодный светильник 32Вт 4000К 2400Лм 119 см</t>
  </si>
  <si>
    <t xml:space="preserve">https://ledpremium.ru/catalog/nakladnye_svetilniki_zhkkh/svetilnik_svetodiodnyy_spo_102_32vt_230v_4000k_2400lm_1200mm_ip40_llt/</t>
  </si>
  <si>
    <t xml:space="preserve">https://top10deals.ru/product/pid/182011429/Svetodiodnyy-svetilnik-LLT-SPO-102-32Vt-4000K-2400Lm-119-sm</t>
  </si>
  <si>
    <t xml:space="preserve">https://lt-electro.ru/catalog/nakladnye/5641/</t>
  </si>
  <si>
    <t xml:space="preserve">Стартер 127 В</t>
  </si>
  <si>
    <t xml:space="preserve">https://moscow.propartner.ru/offers_market/7064629025</t>
  </si>
  <si>
    <t xml:space="preserve">https://e-kvadrat.ru/starter-127v</t>
  </si>
  <si>
    <t xml:space="preserve">https://zanex.ru/product/starter-127v-20s-127-1-15-6920-master-svet/4719c343e96060a341571213e94eb174</t>
  </si>
  <si>
    <t xml:space="preserve">Фольга латунная ГОСТ 2208-2007</t>
  </si>
  <si>
    <t xml:space="preserve">https://krasnodar.specstali.ru/product/folga-latunnaja-dlja-pajki-l63-0-05-mm-gost-2208-2007-listovaja/</t>
  </si>
  <si>
    <t xml:space="preserve">https://metall-77.ru/folga-latunnaya</t>
  </si>
  <si>
    <t xml:space="preserve">https://snabservis.ru/catalog/latunnaya-folga/</t>
  </si>
  <si>
    <t xml:space="preserve">хомут нейлоновый 3,6*200</t>
  </si>
  <si>
    <t xml:space="preserve">пач</t>
  </si>
  <si>
    <t xml:space="preserve">https://www.chipdip.ru/product0/8020896219?ysclid=lnn6nxbnt8164677727</t>
  </si>
  <si>
    <t xml:space="preserve">https://www.etm.ru/cat/nn/1305885</t>
  </si>
  <si>
    <t xml:space="preserve">https://novorossiysk.vseinstrumenti.ru/product/lentochnaya-homut-styazhka-gigant-3-6h200-chernyj-100-sht-g-1-4-2037732/?ysclid=lnn6ov04tq668499250</t>
  </si>
  <si>
    <t xml:space="preserve">хомут нейлоновый 4,8*300</t>
  </si>
  <si>
    <t xml:space="preserve">https://www.chipdip.ru/product0/8000857412?ysclid=lnn6yrdvej14939793</t>
  </si>
  <si>
    <t xml:space="preserve">https://new.optorg.ru/catalog/elektrotehnicheskaya_produkciya/elektromontajnye_izdeliya/homuty_i_styajki_kabelnye/277580/?ysclid=lnn6y9w5n3226187849</t>
  </si>
  <si>
    <t xml:space="preserve">https://www.etm.ru/cat/nn/9809407</t>
  </si>
  <si>
    <t xml:space="preserve">хомут нейлоновый 5*300</t>
  </si>
  <si>
    <t xml:space="preserve">https://www.etm.ru/cat/nn/7210110</t>
  </si>
  <si>
    <t xml:space="preserve">https://rs24.ru/product/618902</t>
  </si>
  <si>
    <t xml:space="preserve">https://www.elektro.ru/product/styazhki_neylonovye_kss_5300_ch_100sht_fortisflex_49417_49417_2/?ysclid=lnn778h5gx266314908</t>
  </si>
  <si>
    <t xml:space="preserve">хомут нейлоновый 7,6*500</t>
  </si>
  <si>
    <t xml:space="preserve">https://new.optorg.ru/catalog/elektrotehnicheskaya_produkciya/elektromontajnye_izdeliya/homuty_i_styajki_kabelnye/279809/</t>
  </si>
  <si>
    <t xml:space="preserve">https://tze1.ru/catalog/krepezh/spetsialnyy-krepezh/homuty-i-styazhki/homuty-plastikovye/homut-kabelnyy-7-6h500-neyl-bel-uhh31-d076-500-100/?ysclid=lnn7q3y240146790815</t>
  </si>
  <si>
    <t xml:space="preserve">https://www.minimaks.ru/product/styazhka-kabelnaya-khomut-500-7-6-neylon-iek-up-100sht-uhh31-d076-500-100/?ysclid=lnn7pvwvms421878260</t>
  </si>
  <si>
    <t xml:space="preserve">шланг резиновый 20мм</t>
  </si>
  <si>
    <t xml:space="preserve">https://www.onlinetrade.ru/catalogue/shlangi-c3240/mi/shlang_sadovyy_rezinovyy_kordovyy_rukav_d_20_mm_50_m_67556_4620764605028-2149868.html</t>
  </si>
  <si>
    <t xml:space="preserve">https://liderstroyinstrument.ru/catalog/shlangi-dlya-nasosnogo-oborudovaniya/shlang-polivochnyy-rezin-kord-armirov-50-m-bukhta-d-20mm-rostov/</t>
  </si>
  <si>
    <t xml:space="preserve">https://www.vseinstrumenti.ru/product/polivochnyj-shlang-novem-tep-20-mm-h-50-m-20-0-5-vg-1927050/</t>
  </si>
  <si>
    <t xml:space="preserve">ЭРА SPO-7-40-4 К-Р-4 1200/180/19, 40Вт, 2800 лм</t>
  </si>
  <si>
    <t xml:space="preserve">https://www.etm.ru/cat/nn/5855615?ysclid=lnn5m5mzts973605632&amp;city=77</t>
  </si>
  <si>
    <t xml:space="preserve">https://rs24.ru/product/749486</t>
  </si>
  <si>
    <t xml:space="preserve">https://www.komus.ru/katalog/katalog-instrumentov/elektrika-i-svet/promyshlennoe-osveshhenie/svetilniki-svetodiodnye/svetilnik-svetodiodnyj-era-spo-7-40-4k-p-40vt-2800lm-4000k-ip40-potolochnyj-vstraivaemyj-prizma-b0026974-/p/1329288/?ysclid=lnn5lizy6p144581771&amp;utm_referrer=https%3A%2F%2Fya.ru%2F</t>
  </si>
  <si>
    <t xml:space="preserve">Ceresit CB 10. Акриловый монтажный клей</t>
  </si>
  <si>
    <t xml:space="preserve">https://www.vseinstrumenti.ru/product/montazhnyj-klej-ceresit-cb-10-1864068-3014720/</t>
  </si>
  <si>
    <t xml:space="preserve">https://ts-krovizol.ru/catalog/product/akrilovyy-montazhnyy-kley-ceresit-cb-10-400-gr/</t>
  </si>
  <si>
    <t xml:space="preserve">https://www.stroyshopper.ru/product/klej_montazhnyj_akrilovyj_ceresit_cb_10/</t>
  </si>
  <si>
    <t xml:space="preserve">Ceresit CN 76. Самовыравнивающаяся цементная смесь</t>
  </si>
  <si>
    <t xml:space="preserve">https://www.mirkrasok.ru/product/ceresit_cn_178_tserezit_smes_legko_vyravnivayushchayasya/sku_184941/</t>
  </si>
  <si>
    <t xml:space="preserve">https://profiplitka.ru/product/ceresit-cn-76-vysokoprochnaja-samovyravnivajuschajasja-tsementnaja-smes-ot-4-do-15-50-mm-25-kg/</t>
  </si>
  <si>
    <t xml:space="preserve">https://ts-krovizol.ru/catalog/product/samovyravnivayushchayasya-tsementnaya-smes-ceresit-cn-76-25-kg/?utm_source=stroyportal&amp;utm_medium=tag&amp;utm_campaign=moskva&amp;utm_term=1584431348722160720&amp;utm_content=24525&amp;strprtl=8fec4d06960f903a983c8359bb307ba9</t>
  </si>
  <si>
    <t xml:space="preserve">Ceresit CS 24. Силиконовый герметик  гост 30971-2002</t>
  </si>
  <si>
    <t xml:space="preserve">https://www.mirkrasok.ru/product/ceresit_cs_24_premium_universal_tserezit_germetik_silikonovyy_universalnyy/</t>
  </si>
  <si>
    <t xml:space="preserve">https://www.kraski-market.ru/catalog/germetiki_i_montazhnaya_pena/silikonovye_germetiki/</t>
  </si>
  <si>
    <t xml:space="preserve">ceresit_cs_24_premium_universal_germetik_universalnyy_silikonovyy_prozrachnyy_280ml</t>
  </si>
  <si>
    <t xml:space="preserve">Ceresit CT 225. Финишная шпаклевка ГОСТ 10277-90</t>
  </si>
  <si>
    <t xml:space="preserve">https://ceresit-russia.ru/ceresit-ct29-fasovka-25-kg/</t>
  </si>
  <si>
    <t xml:space="preserve">https://rdstroy.ru/catalog/shpatlevki_tsementnye/ct_225_25_shpatlyevka_fasad_finish_belaya_48_sht_pod_ceresit/</t>
  </si>
  <si>
    <t xml:space="preserve">https://alea.shop/shpaklevka-cementnaya-belaya-ceresit-st-225-25-kg/</t>
  </si>
  <si>
    <t xml:space="preserve">Ceresit CT 29. Штукатурка ГОСТ 28013-98</t>
  </si>
  <si>
    <t xml:space="preserve">https://rdstroy.ru/catalog/shtukaturki_tsementnye/ct_29_25_shtukat_i_remont_shpatlyevka_25_kg_48sht_pod_ceresit/</t>
  </si>
  <si>
    <t xml:space="preserve">https://ru-ceresit.com/ceresit-ct-29-2/</t>
  </si>
  <si>
    <t xml:space="preserve">Ceresit CМ 14 Extra, клей для керамической плитки ГОСТ Р 56387-2015</t>
  </si>
  <si>
    <t xml:space="preserve">https://ceresit-market.ru/catalog/klei-dlya-plitki/cm-14-extra-kley-d-plitki/</t>
  </si>
  <si>
    <t xml:space="preserve">https://www.mirkrasok.ru/product/ceresit_cm_14_extra_tserezit_kley_dlya_plitki_i_keramogranita/</t>
  </si>
  <si>
    <t xml:space="preserve">https://profiplitka.ru/product/ceresit-sm-14-extra-25-kg/</t>
  </si>
  <si>
    <t xml:space="preserve">Ceresit TS 62. Монтажная пена  гост 30971-2002</t>
  </si>
  <si>
    <t xml:space="preserve">https://kraskivmoskve.ru/product/ceresit-ts-62tserezit-ts-62-universalnaya-montazhnaya-pena</t>
  </si>
  <si>
    <t xml:space="preserve">https://ceresitshop.ru/catalog/penyi-germetiki-klei/penyi/ceresit-ts-62</t>
  </si>
  <si>
    <t xml:space="preserve">https://www-fasad.ru/pena-montazhnaya-ceresit-ts-62-universalnaya-750-ml/</t>
  </si>
  <si>
    <t xml:space="preserve">Ceresit СЕ 40 Aquastatic, затирка для швов.</t>
  </si>
  <si>
    <t xml:space="preserve">https://moscow.petrovich.ru/product/102860/?ysclid=lnn6bm9c4n822490262</t>
  </si>
  <si>
    <t xml:space="preserve">https://www.termokit.ru/product/zatirka_ceresit_se_40_2_aquastatic_vodoottalkivayushchaya_belaya_01_2_kg.htm</t>
  </si>
  <si>
    <t xml:space="preserve">https://www.kraski.ru/catalog/ceresit_se_40_aquastatic_tserezit_tse_40_akvasatik_zatirka_dlya_shvov_do_10_mm_vodoottalkivayushchaya/?ysclid=lnn6bk9zgx457384661</t>
  </si>
  <si>
    <t xml:space="preserve">Грунт-эмаль по ржавчине «КОРРОЕД» ГОСТ Р 51693-2000 </t>
  </si>
  <si>
    <t xml:space="preserve">Емкостной водоподогреватель REFLEX S100  </t>
  </si>
  <si>
    <t xml:space="preserve">https://uni-fitt.shop/collection/baki-membannye/baki-rasshiritelnye-reflex/8210500.html?ysclid=lnn1xbpop1865454036</t>
  </si>
  <si>
    <t xml:space="preserve">https://teplo-com.ru/catalog/179460/</t>
  </si>
  <si>
    <t xml:space="preserve">https://www.teremonline.ru/catalog/inzhenernaya-santekhnika/membrannye-baki/3524_dlya-sistem-otopleniya/reflex-membrannyy-bak-s-100/?ysclid=lnn1x7fqoo281338246</t>
  </si>
  <si>
    <t xml:space="preserve">Замок навесной гост 5089-2011</t>
  </si>
  <si>
    <t xml:space="preserve">https://zamkitut.ru/catalog/zamki/navesnye-zamki/chaz/navesnoy-zamok-chaz-vs2a/</t>
  </si>
  <si>
    <t xml:space="preserve">https://vertical.ru/product/navesnoy-zamok-chaz-vs2a/</t>
  </si>
  <si>
    <t xml:space="preserve">https://zamki34.ru/collection/zamki-navesnye-trosovye/product/zamok-navesnoy-chaz-vs2a-5665</t>
  </si>
  <si>
    <t xml:space="preserve">Краска ВДАК-1180м (Эксперт) фасадная гост р 52020-2003 </t>
  </si>
  <si>
    <t xml:space="preserve">https://megamarket.ru/catalog/details/kraska-vgt-akrilovaya-vd-ak-1180-fasadnaya-superbelaya-vlagostoykaya-matovaya-bescvetnyy-13-kg-100051813645/?utm_source=yandex&amp;utm_medium=cpc&amp;utm_campaign=smm_search_dsa%3A4_stroitelstvo_i_remont_cb_%5Bregions%5D_%7C86121008%7C&amp;utm_term=3771611.13887207686.&amp;utm_content=5171123321.premium.1.16262686.none.11064.Невинномысск&amp;adjust_ya_click_id=1828704582133088255&amp;adjust_campaign=smm_search_dsa%3A4_stroitelstvo_i_remont_cb_%5Bregions%5D&amp;adjust_tracker=4a3jxi1_j6n0ehs&amp;yclid=1828704582133088255</t>
  </si>
  <si>
    <t xml:space="preserve">https://nevinnomyssk.kupi.ru/product/180-kraska-fasadnaya-vdak-brigada-753362282/</t>
  </si>
  <si>
    <t xml:space="preserve">https://radugakraski.ru/katalog/kraski/dlya-mineralnyh-fasadov/vdak-1180z/?oid=19643</t>
  </si>
  <si>
    <t xml:space="preserve">Стеклопакеты однокамерные, ГОСТ 24866—89</t>
  </si>
  <si>
    <t xml:space="preserve">м2</t>
  </si>
  <si>
    <t xml:space="preserve">https://oknabm.ru/catalog/accessories/steklopaket/odnokamernye-steklopakety/1k-steklopaket-4-16-4/</t>
  </si>
  <si>
    <t xml:space="preserve">https://www.relit.ru/price-replace-window.htm</t>
  </si>
  <si>
    <t xml:space="preserve">https://www.eurookna.ru/steklopakety/tsena-za-m2/</t>
  </si>
  <si>
    <t xml:space="preserve">Шпаклёвка ABS ГОСТ 10277-90</t>
  </si>
  <si>
    <t xml:space="preserve">https://new.optorg.ru/catalog/stroitelnye_i_otdelochnye_materialy/suhie_stroitelnye_smesi/shpatlevka/270086/</t>
  </si>
  <si>
    <t xml:space="preserve">https://nvs-stroy.ru/catalogue/11102/6440/?ysclid=lnn04m2n59102945093</t>
  </si>
  <si>
    <t xml:space="preserve">https://gorodmasterov23.ru/shop/stroitelnye-i-otdelochnye-materialy/suhie-smesi/shpatlevki/abs-saten-inter-shpatlevka-5-0-kg/?ysclid=lnn07ta0q9177616528</t>
  </si>
  <si>
    <t xml:space="preserve">Электроды 3мм АНО-21</t>
  </si>
  <si>
    <t xml:space="preserve">https://new.optorg.ru/catalog/instrument_i_oborudovanie/elektrosvarochnoe_oborudovanie/elektrody/242388/</t>
  </si>
  <si>
    <t xml:space="preserve">https://www.svarcka.ru/svarochnye-materialy/elektrody-dlya-svarki/3-1-381-detail.html</t>
  </si>
  <si>
    <t xml:space="preserve">https://krasnodar.vseinstrumenti.ru/product/elektrody-svarochnye-ano-21-1-kg-3-mm-tigarbo-te-213010009-1933705/?ysclid=lnmzpk2gss399476481</t>
  </si>
  <si>
    <t xml:space="preserve">ИТОГО</t>
  </si>
  <si>
    <t xml:space="preserve">х</t>
  </si>
  <si>
    <r>
      <rPr>
        <b val="true"/>
        <sz val="11"/>
        <color rgb="FF000000"/>
        <rFont val="Calibri"/>
        <family val="2"/>
        <charset val="1"/>
      </rPr>
      <t xml:space="preserve">* При получении трех и более ТКП, рассчитать цену как среднее арифметическое значение полученных ТКП. Требования к порядку отбора ТКП для расчета цены:
</t>
    </r>
    <r>
      <rPr>
        <sz val="11"/>
        <color rgb="FF000000"/>
        <rFont val="Calibri"/>
        <family val="2"/>
        <charset val="1"/>
      </rPr>
      <t xml:space="preserve">1. при отсутствии монопольного или олигопольного рынка не допускается использование ценовой информации, которая превышает более, чем на 20% среднее арифметическое значение всех полученных ценовых предложений. Использование ценовой  информации, которая ниже 20% среднего арифметического значения всех полученных ценовых предложений, является правом Заказчика;
2. в случае несоответствия, указанного в п.1, из расчета исключается ценовая информация, имеющая наибольшее отклонение от среднего арифметического значения и осуществляется повторный расчет. Указанные действия осуществляются до устранения несоответствия (нормы отклонения до 20%). В случае, если по результатам указанных действий, осталось менее трех значений полученной ценовой информации, то необходимо осуществить поиск дополнительной ценовой информации из других источников ценовой информации;
3. в случае олигопольного рынка допускается использовать ценовую информацию из двух источников ценовой информации, которая отличается более, чем на 20% от среднего арифметического значения полученных ценовых предложений (выбор конкретного значения цены из двух полученных согласовывается Заказчиком). При этом Заказчику следует провести дополнительную проверку корректности полученной информации (в том числе корректность направленных им запросов ТКП).</t>
    </r>
  </si>
  <si>
    <t xml:space="preserve">* Если, в связи с условиями рынка, получение ценовой информации из трех и более источников информации невозможно – рассчитать цену, как среднее арифметическое из полученных предложений (при олигопольном рынке) или принять единственное предложение (при монопольном рынке) (с указанием соответствующих пояснений).</t>
  </si>
  <si>
    <t xml:space="preserve">Комментарий ККГЭС</t>
  </si>
  <si>
    <t xml:space="preserve">Среднерыночное значение</t>
  </si>
  <si>
    <t xml:space="preserve">Отклонение от среднерыночного значения</t>
  </si>
  <si>
    <t xml:space="preserve">Стоимость продукции (за единицу), руб. без НДС</t>
  </si>
  <si>
    <t xml:space="preserve">Стоимость продукции (за единицу) с учетом ценообразующих факторов, тыс. руб. без НДС</t>
  </si>
  <si>
    <t xml:space="preserve">Объединить п. 1 и п. 37. Стоимость герметика учесть аналогично расчета ПЦ по РЕМ (250,37 руб без НДС с ТЗР за шт.), обоснование придоставить аналогичное обоснаванию в РЕМ. ИЦИ1 не корректно указана стомость черного герметика </t>
  </si>
  <si>
    <t xml:space="preserve">Стоимость Грунт-эмаль "Корроед" серый учесть аналогично расчета ПЦ по РЕМ (686,78 руб без НДС с ТЗР за кг.), обоснование придоставить аналогичное обоснаванию в РЕМ. Объеденить п.2 и п. 98</t>
  </si>
  <si>
    <t xml:space="preserve">https://mstroy.ru/catalog/lakokrasochnye_materialy/emali/emali_po_rzhavchine_kvil/grunt_emal_gladkaya/grunt_emal_gladkaya_korroed_po_rzhavchine_ral5005_siniy_1_9kg/?ysclid=lr95vr8m1h18883673</t>
  </si>
  <si>
    <t xml:space="preserve">https://ptcpro.ru/catalog/grunt_emal_po_rzhavchine/9278/?ysclid=lr95vcrrtb830438952</t>
  </si>
  <si>
    <t xml:space="preserve">https://tulasnab.ru/grunt-emal-korroed-mister-hardmax-ral-5005-sinij-po-rgavchine-19kg-kvil</t>
  </si>
  <si>
    <t xml:space="preserve">https://ptcpro.ru/catalog/grunt_emal_po_rzhavchine/9277/?ysclid=lr974d4cvw826429706</t>
  </si>
  <si>
    <t xml:space="preserve">https://www.vseinstrumenti.ru/product/grunt-emal-po-rzhavchine-hardmax-korroed-ral-3011-krasno-korichnevyj-banka-1-9-kg-1-sht-4690417071258-1853226/?ysclid=lr970b2cvx643770471</t>
  </si>
  <si>
    <t xml:space="preserve">https://www.chipdip.ru/product0/8018241705</t>
  </si>
  <si>
    <t xml:space="preserve">ИЦИ1 и ИЦИ2 цена указана с НДС.</t>
  </si>
  <si>
    <t xml:space="preserve">https://rezina74.ru/catalog/uplotnitelnyye-koltsa/koltsa-i-vtulki-muvp/103553/?ysclid=lr98kh57eb461942727</t>
  </si>
  <si>
    <t xml:space="preserve">https://antisplash.ru/koltso-uprugoe-muvp-k3-35kh18kh9kh4-5?yclid=4043379713605631999</t>
  </si>
  <si>
    <t xml:space="preserve">https://www.kirelis.ru/catalog/kolca/vtylki-myvp/id_30848/?ysclid=lr98k0o2hp926239490</t>
  </si>
  <si>
    <t xml:space="preserve">Необходимо уточнение характеристик. Предлагаю учесть ФССЦ-18.1.09.08-0002 "Кран шаровой латунный, номинальный диаметр 15 мм (1/2"), присоединение муфтовое ВР-ВР"</t>
  </si>
  <si>
    <t xml:space="preserve">Кран шаровый  Ø 22 латунь не существует, необходимо уточнение характеристик и диаметра 20 или 25, в представленных ИЦИ указан кран соответствующий диаметру 25 мм. Предлагаю учесть ФССЦ-18.1.09.08-0001 "Кран шаровой латунный, номинальный диаметр 25 мм (1"), присоединение муфтовое ВР-ВР"</t>
  </si>
  <si>
    <t xml:space="preserve">Указать материал корпуса</t>
  </si>
  <si>
    <t xml:space="preserve">Кран шаровый  водоразборный Ø 22 латунь не существует, уточнить характеристики</t>
  </si>
  <si>
    <t xml:space="preserve">https://snabinstrument.ru/catalog/abrazivnyy_instrument/izdeliya_iz_shlifshkurki/krugi_shlifovalnye/krugi_lepestkovye_tortsevye/krug_lepestkovyy_tortsevoy_klt2_125kh22_40n_r40_kk10khw_tu_3980_006_00223332_2006_baz/?ysclid=lra8ac92of558038666</t>
  </si>
  <si>
    <t xml:space="preserve">https://svarog-tk.ru/goods/abrasives/29/3321/?product=3321</t>
  </si>
  <si>
    <t xml:space="preserve">https://www.vseinstrumenti.ru/product/krug-lepestkovyj-tortsevoj-125x22-2-mm-p40-gigant-grf-40-1492522/?ysclid=lra88n68wk527561771</t>
  </si>
  <si>
    <t xml:space="preserve">В ИЦИ-2 и ИЦИ-3 не корректно указаны  технические характеристики </t>
  </si>
  <si>
    <t xml:space="preserve">https://megamarket.ru/catalog/details/maslo-motornoe-lukoil-19195-100001150034/?ysclid=lra95z7lkr929975457</t>
  </si>
  <si>
    <t xml:space="preserve">https://www.vseinstrumenti.ru/product/motornoe-maslo-lukojl-super-sae-15w-40-api-sg-cd-4-l-19195-3059288/?ysclid=lra8x7rpr92387993</t>
  </si>
  <si>
    <t xml:space="preserve">https://ru.lukoil-shop.com/catalog/legkovye_avtomobili/motornye_masla/maslo_motornoe_lukoyl_super_15w_40_sg_cd/?ysclid=lra8x2yo4t690392950</t>
  </si>
  <si>
    <t xml:space="preserve">Отнести к оборудованию с ТЗР 4,2%</t>
  </si>
  <si>
    <t xml:space="preserve">https://vannadream.ru/catalog/nakopitelnye_vodonagrevateli/78009/?utm_referrer=https%3A%2F%2Fyandex.ru%2Fproducts%2Fsearch%3Ftext%3D%25D0%25B2%25D0%25BE%25D0%25B4%25D0%25BE%25D0%25BD%25D0%25B0%25D0%25B3%25D1%2580%25D0%25B5%25D0%25B2%25D0%25B0%25D1%2582%25D0%25B5%25D0%25BB%25D1%258C%2520Thermex%2520Drift%252010%2520O</t>
  </si>
  <si>
    <t xml:space="preserve">https://vodaiteplo-online.ru/catalog/vodonagrevatel_thermex_drift_10_o/?yclid=2242940148256866303</t>
  </si>
  <si>
    <t xml:space="preserve">https://bagnoural.ru/catalog/nakopitelnye_vodonagrevateli/73483/?utm_referrer=https%3A%2F%2Fyandex.ru%2Fproducts%2Fsearch%3Ftext%3D%25D0%25B2%25D0%25BE%25D0%25B4%25D0%25BE%25D0%25BD%25D0%25B0%25D0%25B3%25D1%2580%25D0%25B5%25D0%25B2%25D0%25B0%25D1%2582%25D0%25B5%25D0%25BB%25D1%258C%2520Thermex%2520Drift%252010%2520O</t>
  </si>
  <si>
    <t xml:space="preserve">П. 13 и 14  объеденить в реестре</t>
  </si>
  <si>
    <t xml:space="preserve">https://snabsan.ru/Smesitel_dlya_vanny_s_dushem_PSM-PROFSAN_PSM-150-K89_STANDART-B_tip_Sm-VUDRNShlr/?ysclid=lrabpxo517806531528</t>
  </si>
  <si>
    <t xml:space="preserve">https://shsl.ru/smesitel-dlya-vanny-s-dushem-psm-profsan-psm-150-k80-standart-b-tip-sm-vudrnshlr/?ysclid=lrabm7iupc681723541</t>
  </si>
  <si>
    <t xml:space="preserve">https://www.vseinstrumenti.ru/product/smesitel-dlya-vanny-s-dushem-profsan-psm-tip-sm-vudrnshlr-psm-150-89-1651200/?ysclid=lrabew9rrs543056329</t>
  </si>
  <si>
    <t xml:space="preserve">https://shsl.ru/smesitel-dlya-rakoviny-psm-profsan-psm-740-008-plyus-tip-sm-umotsba/?ysclid=lrad4pfspa191109063</t>
  </si>
  <si>
    <t xml:space="preserve">https://market.yandex.ru/product--profsan-psm-smesitel-dlia-rakoviny-seriia-komplektatsiia-tip-gost-sm-umotsba-psm-104-5/1446274854?sku=101457051894&amp;do-waremd5=MN4R_cxAyC16qpqPK8PM2A&amp;uniqueId=923915</t>
  </si>
  <si>
    <t xml:space="preserve">https://www.vseinstrumenti.ru/product/smesitel-dlya-rakoviny-profsan-psm-tip-gost-sm-umotsba-psm-759-044-2191972/?ysclid=lrad3eadg2536433745</t>
  </si>
  <si>
    <t xml:space="preserve">необходимо уточнить материал корпуса, а так же тех характеристики, тип., марка, артикул.</t>
  </si>
  <si>
    <t xml:space="preserve">В предоставленных ИЦИ указан МТР подшипниковый узел, а не подшибник</t>
  </si>
  <si>
    <t xml:space="preserve">Проверить стоимость не представляется возможным, не указаны тех.характеристики, диаметр длина шланга и т.д.</t>
  </si>
  <si>
    <t xml:space="preserve">https://www.kraska-ekb.ru/goods/81268106-grunt_emal_antikorroziynaya_dv_107</t>
  </si>
  <si>
    <t xml:space="preserve">https://krasnodar.pulscen.ru/products/grunt_emal_antikorroziynaya_dv_106_81268107</t>
  </si>
  <si>
    <t xml:space="preserve">https://stalfilters.ru/filtr-toplivnyy-st20908-150-1r0793-26560163-ef51040-1r1803/?ysclid=lrak10zrwq777187621</t>
  </si>
  <si>
    <t xml:space="preserve">https://stal.market/filtr-toplivnyy-st20908-150-1r0793-26560163-ef51040-1r1803/?ysclid=lrajwv9zs3971250078</t>
  </si>
  <si>
    <t xml:space="preserve">https://mts124.ru/product/filtr-toplivnyy-st20908-1-50-1r0793-26560163-ef51040-1r1803-58172/</t>
  </si>
  <si>
    <t xml:space="preserve">https://promintel.com/products/ff167a-filtr-kartridzh-toplivnyy-fleetguard?ysclid=lrakl1m7ml123791948</t>
  </si>
  <si>
    <t xml:space="preserve">https://euroauto.ru/firms/fleetguard/ff167a/?ysclid=lrakia4gtm380241399</t>
  </si>
  <si>
    <t xml:space="preserve">https://maslomarket.com/catalog/filters/the-fuel-filters/filtr-toplivnyy-fleetguard-ff167a/?ysclid=lrakdq5vt6532307090</t>
  </si>
  <si>
    <t xml:space="preserve">https://impart.online/catalog/fg1050eco-filtr-toplivnyy-goodwill-1qqxv1d/?ysclid=lral5t13gt289495644</t>
  </si>
  <si>
    <t xml:space="preserve">https://ugk174.ru/catalog/filtry/filtr_toplivnyj_goodwill_fg1050eco_605013_ef_5102_26560201_sk3380/?ysclid=lrakro7vk4945263656</t>
  </si>
  <si>
    <t xml:space="preserve">Указать полные характеристики, тип, марку, артикул</t>
  </si>
  <si>
    <t xml:space="preserve">https://megamarket.ru/catalog/details/antifriz-sintec-krasno-oranzhevyy-gotovyy-antifriz-10kg-756665-100022894461/?ysclid=lramk3bn9y757071591</t>
  </si>
  <si>
    <t xml:space="preserve">https://www.wildberries.ru/catalog/102878995/detail.aspx</t>
  </si>
  <si>
    <t xml:space="preserve">https://optorg.ru/catalog/avtomobilnye_tovary_shiny/avtohimiya/antifrizy_tosoly/161247/</t>
  </si>
  <si>
    <t xml:space="preserve">Объединить п. 1 и п. 37. Стоимость герметика учесть аналогично расчета ПЦ по РЕМ (250,37 руб без НДС с ТЗР за шт.), обоснование придоставить аналогичное </t>
  </si>
  <si>
    <t xml:space="preserve">П. 38, 39, 40 объёденить в одну позицию и учесь по одной цене. Относится к оборудованию</t>
  </si>
  <si>
    <t xml:space="preserve">https://tdatm.ru/catalog/kontrolno_izmeritelnye_pribory_kipia/sredstva_izmereniya_davleniya/manometry/manometr_mp3_uf_0_16_mpa_kt_1_5_d_100_ip40_m20_1_5_rsh.html?ysclid=lrehxw9wvk944054918</t>
  </si>
  <si>
    <t xml:space="preserve">https://www.rustenergo.ru/catalog/pribory-dlya-izmereniya-neelektricheskikh-velichin/manometry-tekhnicheskie/mp3-uf/mp3-uf-0-16-0-mpa-kl-t-1-5-manometr-/?ysclid=lramwgbykb590014002</t>
  </si>
  <si>
    <t xml:space="preserve">https://krasnodar.mera-tek.ru/catalog/manometry/mp3-uf-16-kgs-sm2-kl-1-5-m20kh1-5/?ysclid=lrei328o57511096383</t>
  </si>
  <si>
    <t xml:space="preserve">П.  39, 40 объёденить в одну позицию и учесь по одной цене. ИЦИ-1 не соответствует техническим характеристикам отсутствует исп ЭКО. ИЦИ-3 не соответствует коридору 20%</t>
  </si>
  <si>
    <t xml:space="preserve">Манометр общетехнический МП3-Уф исп ЭКО 0-16 кгс/см2 кт.1,5 d.100 IP40 М20х1,5 РШ ГОСТ 2405-88</t>
  </si>
  <si>
    <t xml:space="preserve">https://www.kipa18.ru/goods/106412975-manometr_mp3_uf_0_1_6_mpa_kt_1_5_d_100_ip40_m20_1_5_rsh</t>
  </si>
  <si>
    <t xml:space="preserve">https://intersens.ru/product/manometer-mp3-uf-isp-eko-0-1-6-mpa-kt-1-5-d-100-ip40-m20-1-5-rsh/?ysclid=lrej33wn3b834774274</t>
  </si>
  <si>
    <t xml:space="preserve">https://tdatm.ru/catalog/kontrolno_izmeritelnye_pribory_kipia/sredstva_izmereniya_davleniya/manometry/manometr_mp3_uf_isp_eko_0_1_6_mpa_kt_1_5_d_100_ip40_m20_1_5_rsh_gp.html</t>
  </si>
  <si>
    <t xml:space="preserve">П. 39, 40 объёденить в одну позицию и учесь по одной цене.</t>
  </si>
  <si>
    <t xml:space="preserve">Манометр общетехнический МП3-Уф исп ЭКО 0-16 кгс/см2 кт.1,5 d.100 IP40 М20х1,5 РШ² ГОСТ 2405-88</t>
  </si>
  <si>
    <t xml:space="preserve">https://intersens.ru/product/manometer-mp3-uf-isp-eko-0-1-6-mpa-kt-1-5-d-100-ip40-m20-1-5-rsh/?ysclid=lrej33wn3b834774275</t>
  </si>
  <si>
    <t xml:space="preserve">Манометр общетехнический МП3-Уф исп ЭКО 0-25 кгс/см2 кт.1,5 d.100 IP40 М20х1,5 РШ  ГОСТ 2405-88</t>
  </si>
  <si>
    <t xml:space="preserve">https://pritok.info/shop/goods/manometr-mp3-uf-isp-eko-0-25-mpa-rsh--kt15---d100---IP40---m20-15--1098198185?ysclid=lrejleyr5d630555802</t>
  </si>
  <si>
    <t xml:space="preserve">https://tdatm.ru/catalog/kontrolno_izmeritelnye_pribory_kipia/sredstva_izmereniya_davleniya/manometry/manometr_mp3_uf_isp_eko_0_2_5_mpa_kt_1_5_d_100_ip40_m20_1_5_rsh.html</t>
  </si>
  <si>
    <t xml:space="preserve">https://www.ozon.ru/product/manometr-mpz-uf-isp-eko-0-2-5-mpa-kt-1-5-d100-ip40-g1-2-1305327591/?asb=hgeukSQUMGDYoD%252FKkc80r3lmWypLiL276cE3xZU3g70%253D&amp;asb2=kuSTFAceWEqxvIGYzoSDqI2YPxCs0M-Q0hNqpbDPqI30uoURDKklr2qAJHhKhz87&amp;avtc=1&amp;avte=2&amp;avts=1705301944&amp;keywords=%D0%9C%D0%B0%D0%BD%D0%BE%D0%BC%D0%B5%D1%82%D1%80+%D0%9C%D0%9F3-%D0%A3%D1%84+%D0%B8%D1%81%D0%BF+%D0%AD%D0%9A%D0%9E+0-2%2C5+%D0%9C%D0%9F%D0%B0</t>
  </si>
  <si>
    <t xml:space="preserve">ИЦИ-1 не соответствует техническим характеристикам исп ЭКО 0-1 Мпа</t>
  </si>
  <si>
    <t xml:space="preserve">Манометр общетехнический МП3-Уф исп ЭКО 0-40 кгс/см2 кт.1,5 d.100 IP40 М20х1,5 РШ ГОСТ 2405-88</t>
  </si>
  <si>
    <t xml:space="preserve">https://afkmarket.ru/catalog/pribory-ucheta-i-kipia/manometry/30964/</t>
  </si>
  <si>
    <t xml:space="preserve">https://lab-oborudovanie.ru/catalog/manometrt-mp3-uf-eko-0-4-mpa/</t>
  </si>
  <si>
    <t xml:space="preserve">https://www.manometer-spb.ru/catalog/manometry/tekhnicheskie/2771/</t>
  </si>
  <si>
    <t xml:space="preserve">Во всех ИЦИ не корректно указан диапазон давления</t>
  </si>
  <si>
    <t xml:space="preserve">Манометр общетехнический МП3-Уф исп ЭКО 0-60 кгс/см2 кт.1,5 d.100 IP40 М20х1,5 РШ ГОСТ 2405-88</t>
  </si>
  <si>
    <t xml:space="preserve">https://lab-oborudovanie.ru/catalog/manometrt-mp3-uf-eko-0-6-mpa/</t>
  </si>
  <si>
    <t xml:space="preserve">https://www.manometer-spb.ru/catalog/manometry/tekhnicheskie/2772/</t>
  </si>
  <si>
    <t xml:space="preserve">ИЦИ-1 и ИЦИ-2 не соответствуют техническим характеристикам</t>
  </si>
  <si>
    <t xml:space="preserve">https://manometr-rsc.ru/catalog/tm-320-0-2-5mpa-g-1-4-1-5/?ysclid=lrely9ti1g727016875</t>
  </si>
  <si>
    <t xml:space="preserve">https://dn.ru/kipia/manometry/radialnyi/rosma/tm-320r-do-10mpa/0-2-5mpa-m12-1-5?ysclid=lreludfknv105936068</t>
  </si>
  <si>
    <t xml:space="preserve">https://krasnodar.mera-tek.ru/catalog/manometry/tm-320r-00-0-0-25-mpa-m12kh1-5-1-5/?ysclid=lreltze8nn744889761</t>
  </si>
  <si>
    <t xml:space="preserve">ИЦИ-1 отсутствуют конкретные характеристики, ИЦИ-2 и ИЦИ-3  не корректно указан диапазон давления</t>
  </si>
  <si>
    <t xml:space="preserve">Манометр электроконтактный ДМ2010ф исп V 0-10 кгс/см2 кт.1,5 d.100 IP40 M20*1,5 РШ ГОСТ 2405-88</t>
  </si>
  <si>
    <t xml:space="preserve">https://afkmarket.ru/catalog/pribory-ucheta-i-kipia/manometry/29589/</t>
  </si>
  <si>
    <t xml:space="preserve">https://msk.specarmatura.ru/catalog/manometry_elektrokontaktnye_fiztekh/manometr_dm2010f_isp_v_0_10_0_atm_ip40_m20kh1_5_rsh/</t>
  </si>
  <si>
    <t xml:space="preserve">https://lab-oborudovanie.ru/catalog/manometr-dm2010-isp-5-0-1-mpa/</t>
  </si>
  <si>
    <t xml:space="preserve">Манометр электроконтактный ДМ2010ф исп V 0-100 кгс/см2 кт.1,5 d.100 IP40 M20*1,5 РШ ГОСТ 2405-88</t>
  </si>
  <si>
    <t xml:space="preserve">https://afkmarket.ru/catalog/pribory-ucheta-i-kipia/manometry/29594/</t>
  </si>
  <si>
    <t xml:space="preserve">https://msk.specarmatura.ru/catalog/manometry_elektrokontaktnye_fiztekh/manometr_dm2010f_isp_v_0_100_0_atm_ip40_m20kh1_5_rsh/</t>
  </si>
  <si>
    <t xml:space="preserve">Манометр электроконтактный ДМ2010ф исп V 0-16 кгс/см2 кт.1,5 d.100 IP40 M20*1,5 РШ ГОСТ 2405-88</t>
  </si>
  <si>
    <t xml:space="preserve">https://afkmarket.ru/catalog/pribory-ucheta-i-kipia/manometry/29598/</t>
  </si>
  <si>
    <t xml:space="preserve">https://msk.specarmatura.ru/catalog/manometry_elektrokontaktnye_fiztekh/manometr_dm2010f_isp_v_0_1_6_atm_ip40_m20kh1_5_rsh/</t>
  </si>
  <si>
    <t xml:space="preserve">https://lab-oborudovanie.ru/catalog/manometr-dm2010-isp-5-0-16-mpa/#char</t>
  </si>
  <si>
    <t xml:space="preserve">https://afkmarket.ru/catalog/pribory-ucheta-i-kipia/manometry/112560/</t>
  </si>
  <si>
    <t xml:space="preserve">https://tdatm.ru/catalog/kontrolno_izmeritelnye_pribory_kipia/sredstva_izmereniya_davleniya/manometry/manometr_dm2010f_isp_v_0_160_kpa_kt_1_5_d_100_ip40_m20_1_5_rsh.html</t>
  </si>
  <si>
    <t xml:space="preserve">https://lab-oborudovanie.ru/catalog/manometr-dm2010-isp-5-0-0-16-mpa/</t>
  </si>
  <si>
    <t xml:space="preserve">https://afkmarket.ru/catalog/pribory-ucheta-i-kipia/manometry/29621/</t>
  </si>
  <si>
    <t xml:space="preserve">https://tdatm.ru/catalog/kontrolno_izmeritelnye_pribory_kipia/sredstva_izmereniya_davleniya/manometry/manometr_dm2010f_isp_v_0_4_kgs_sm2_kt_1_5_d_100_ip40_m20_1_5_rsh_fl.html</t>
  </si>
  <si>
    <t xml:space="preserve">https://msk.specarmatura.ru/catalog/manometry_elektrokontaktnye_fiztekh/manometr_dm2010f_isp_v_0_4_0_atm_ip40_m20kh1_5_rsh/</t>
  </si>
  <si>
    <t xml:space="preserve">Все ИЦИ не соответствуют техническим характеристика, а именно номинальному давлению 0-40 кгс/см2  (0-4 МПА)</t>
  </si>
  <si>
    <t xml:space="preserve">https://afkmarket.ru/catalog/pribory-ucheta-i-kipia/manometry/29625/</t>
  </si>
  <si>
    <t xml:space="preserve">https://pritok.info/shop/goods/manometr-dm2010f-isp-V-0-40-mpa-rsh--kt15---d100---IP40---M20-15--1098119641?ysclid=lreo52mh8s737141788</t>
  </si>
  <si>
    <t xml:space="preserve">https://msk.specarmatura.ru/catalog/manometry_elektrokontaktnye_fiztekh/manometr_dm2010f_isp_v_0_40_0_atm_ip40_m20kh1_5_rsh/</t>
  </si>
  <si>
    <t xml:space="preserve">ИЦИ-3 не верно указан диапазон давления</t>
  </si>
  <si>
    <t xml:space="preserve">Манометр электроконтактный ДМ2010ф исп V 0-6 кгс/см2 кт.1,5 d.100 IP40 M20*1,5 РШ  ГОСТ 2405-88</t>
  </si>
  <si>
    <t xml:space="preserve">https://pritok.info/shop/goods/manometr-dm2010f-isp-V-0-06-mpa-kt15-d100-IP40-M20-15-rsh-1098190449</t>
  </si>
  <si>
    <t xml:space="preserve">https://afkmarket.ru/catalog/pribory-ucheta-i-kipia/manometry/29634/</t>
  </si>
  <si>
    <t xml:space="preserve">https://msk.specarmatura.ru/catalog/manometry_elektrokontaktnye_fiztekh/manometr_dm2010f_isp_v_0_6_0_atm_ip40_m20kh1_5_rsh/</t>
  </si>
  <si>
    <t xml:space="preserve">В ИЦИ1 и ИЦИ3 не соответствие техническим характеристикам. В ИЦИ-2 отсутствуют характеристики, не указано номинальное давление  </t>
  </si>
  <si>
    <t xml:space="preserve">Манометр электроконтактный ДМ2010ф исп V 0-60 кгс/см2 кт.1,5 d.100 IP40 M20*1,5 РШ ГОСТ 2405-88</t>
  </si>
  <si>
    <t xml:space="preserve">https://msk.specarmatura.ru/catalog/manometry_elektrokontaktnye_fiztekh/manometr_dm2010f_isp_v_0_60_0_atm_ip40_m20kh1_5_rsh/</t>
  </si>
  <si>
    <t xml:space="preserve">https://afkmarket.ru/catalog/pribory-ucheta-i-kipia/manometry/29637/</t>
  </si>
  <si>
    <t xml:space="preserve">https://lab-oborudovanie.ru/catalog/manometr-dm2010-isp-5-0-6-mpa/</t>
  </si>
  <si>
    <t xml:space="preserve">https://www.officemag.ru/catalog/goods/151481/</t>
  </si>
  <si>
    <t xml:space="preserve">https://leroymerlin.ru/product/marker-kraska-munhwa-82386606/?ysclid=lreu2ptily276140315&amp;utm_referrer=https%3A%2F%2Fya.ru%2F</t>
  </si>
  <si>
    <t xml:space="preserve">https://stavropol.kuvalda.ru/catalog/7839/product-116121/?ysclid=lreu99hbxc361246411</t>
  </si>
  <si>
    <t xml:space="preserve">https://megamarket.ru/catalog/details/maslo-kompressornoe-gazpromneft-compressor-s-synth-100-1l-253721871-600005570435/?ysclid=lrey40ntaq13979534</t>
  </si>
  <si>
    <t xml:space="preserve">https://www.vseinstrumenti.ru/product/maslo-compressor-s-synth-100-1-l-gazpromneft-253721871-1175782/?ysclid=lrey3ssap859720018</t>
  </si>
  <si>
    <t xml:space="preserve">https://leroymerlin.ru/product/maslo-dlya-kompressora-gazpromneft-compres-s-synth-100-1-l-82680707/?ysclid=lrey1wlua4125993148&amp;utm_referrer=https%3A%2F%2Fya.ru%2F</t>
  </si>
  <si>
    <t xml:space="preserve">https://oil-store.ru/masla-i-smazki/industrialnye-masla/kompressornye-masla/kompressornoe-maslo-gazpromneft-compressor-s-synth-150-205l/</t>
  </si>
  <si>
    <t xml:space="preserve">https://market.yandex.ru/product--kompressornoe-maslo-gazpromneft-compressor-s-synth-150-205-l/1928907666?sku=101918768244&amp;do-waremd5=dT5LuY8jISq6tDkeg-YAvQ&amp;uniqueId=14123210</t>
  </si>
  <si>
    <t xml:space="preserve">https://www.autoopt.ru/catalog/733654-maslo_kompressornoe_compressor_s_synth_150_205l180kg_gazpromneft?ysclid=lreykdnxqu664170247</t>
  </si>
  <si>
    <t xml:space="preserve">https://maslenych.ru/shop/avtomasla/motornye_masla/40044/</t>
  </si>
  <si>
    <t xml:space="preserve">https://www.ozon.ru/product/maslo-motornoe-lukoyl-lukoil-avangard-ultra-15w-40-mineralnoe-5-l-416456788/?asb=mUeVMLb88sG226VJZDDJLpaDzPjVrZqF3H0riWlIqI4%253D&amp;asb2=V2B0plM9DgxhzoGsCq1xmmo6BVQr-yXg1K5kTWn8HA3bNWLkpnT-PbN382fqGkaD&amp;avtc=1&amp;avte=2&amp;avts=1705326931&amp;keywords=%D0%BB%D1%83%D0%BA%D0%BE%D0%B9%D0%BB+%D0%B0%D0%B2%D0%B0%D0%BD%D0%B3%D0%B0%D1%80%D0%B415w40</t>
  </si>
  <si>
    <t xml:space="preserve">https://ru.lukoil-shop.com/catalog/kommercheskiy_transport/motornye_masla/maslo_motornoe_lukoyl_avangard_mineralnoe_15w_40_api_cf_4_sg/?ysclid=lrezh29s5i793370538</t>
  </si>
  <si>
    <t xml:space="preserve">https://www.vseinstrumenti.ru/product/avangard-ultra-polusinteticheskoe-sae-10w-40-api-ci-4-sl-lukojl-1553214-8713532/#searchQuery=%D0%9C%D0%BE%D1%82%D0%BE%D1%80%D0%BD%D0%BE%D0%B5+%D0%BC%D0%B0%D1%81%D0%BB%D0%BE+%D0%9B%D1%83%D0%BA%D0%BE%D0%B9%D0%BB+%D0%90%D0%92%D0%90%D0%9D%D0%93%D0%90%D0%A0%D0%94+%D0%A3%D0%9B%D0%AC%D0%A2%D0%A0%D0%90+%D0%BF%D0%BE%D0%BB%D1%83%D1%81%D0%B8%D0%BD%D1%82%D0%B5%D1%82%D0%B8%D1%87%D0%B5%D1%81%D0%BA%D0%BE%D0%B5,+SAE+10W-40,+API+CI-4/SL+1553214&amp;searchType=autocomplete</t>
  </si>
  <si>
    <t xml:space="preserve">https://oil-store.ru/masla-i-smazki/motornye-masla/gruzovoj-transport/motornoe-maslo-lukojl-avangard-ultra-10w-40-50l/</t>
  </si>
  <si>
    <t xml:space="preserve">https://b2b.lukoil-shop.ru/product/lukoil_avantgarde_ultra_10w_40/</t>
  </si>
  <si>
    <t xml:space="preserve">Указать полные характеристики (Номинальное рабочее напряжение, напряжение катушки управления, кол-во фаз и т.д.). Указать правильное наименование "Контактор КМИ 11811"?</t>
  </si>
  <si>
    <t xml:space="preserve">https://www.vseinstrumenti.ru/product/kontaktor-iek-kmi-11811-18a-400v-as3-1nz-kkm11-018-400-01-1446795/?utm_source=yandex&amp;utm_medium=cpc&amp;utm_campaign=Tovarnaya_kampaniya_Tovary_ot_1000_do_5000_rub&amp;utm_content=15307098238&amp;utm_term=ST%3Asearch%7CS%3Anone%7CAP%3Ano%7CPT%3Aother%7CP%3A3%7CDT%3Adesktop%7CRI%3A11064%7CCI%3A78798942%7CGI%3A5030773016%7CPI%3A41138732101%7CAI%3A15307098238%7CRT%3A41138732101%7CKW%3A---autotargeting%7CRN%3A%D0%9D%D0%B5%D0%B2%D0%B8%D0%BD%D0%BD%D0%BE%D0%BC%D1%8B%D1%81%D1%81%D0%BA&amp;yclid=8697465129658220543</t>
  </si>
  <si>
    <t xml:space="preserve">https://www.elektro.ru/product/kontaktor_kmi-11811_18a_400v_as3_1nz_iek/?ysclid=lrfwyyu02871443555</t>
  </si>
  <si>
    <t xml:space="preserve">https://www.chipdip.ru/product0/8000856354</t>
  </si>
  <si>
    <t xml:space="preserve">https://www.vseinstrumenti.ru/product/kontaktor-iek-kmi-22511-25a-220v-iek-kkm21-025-230-01-1172033/?ysclid=lrfx9rg2sq369511159</t>
  </si>
  <si>
    <t xml:space="preserve">https://www.elektro.ru/product/kontaktor_kmi-22511_25a_230v_as3_1nz_iek/?ysclid=lrfx9miqd8233119789</t>
  </si>
  <si>
    <t xml:space="preserve">https://www.chipdip.ru/product0/8010440963?position_type=premium|k50id|010000004494417_4494417|cid|78738975|gid|5038974208|aid|12817036898|src|search_none&amp;utm_source=direct&amp;utm_medium=cpc&amp;utm_campaign=Y_dinamika_site&amp;utm_content=text1_ya&amp;utm_term=&amp;yclid=8822131644090548223</t>
  </si>
  <si>
    <r>
      <rPr>
        <sz val="11"/>
        <rFont val="Calibri"/>
        <family val="2"/>
        <charset val="1"/>
      </rPr>
      <t xml:space="preserve">Правильный артикул 2614В</t>
    </r>
    <r>
      <rPr>
        <b val="true"/>
        <u val="single"/>
        <sz val="11"/>
        <rFont val="Calibri"/>
        <family val="2"/>
        <charset val="1"/>
      </rPr>
      <t xml:space="preserve">6</t>
    </r>
    <r>
      <rPr>
        <sz val="11"/>
        <rFont val="Calibri"/>
        <family val="2"/>
        <charset val="1"/>
      </rPr>
      <t xml:space="preserve">55? Проверить. Во всех ИЦИ цена указана за комплект из 2-х штук, указать стоимость 1 шт. Объёдинить п. 60 и п.65</t>
    </r>
  </si>
  <si>
    <t xml:space="preserve">https://impart.online/catalog/2614b655-remen-k-kt-iz-2kh-sht-perkins-lupsls/?ysclid=lrfxr1ngz376048122</t>
  </si>
  <si>
    <t xml:space="preserve">https://ru.fridayparts.com/v-belt-52-6in-2614b655-for-perkins-engine-1004-4-1004-40-1004-40t-1004-42-1004-4t-1004e-4tw-1006-6-1006-6t</t>
  </si>
  <si>
    <t xml:space="preserve">https://autopiter.ru/goods/2614b655/perkins/id112150898?ysclid=lrfy28kvfv98367194</t>
  </si>
  <si>
    <t xml:space="preserve">https://www.avtoall.ru/remen_privodnoiy_klinovoiy_13h1075_contitech-911424/?ysclid=lrfye1cipt850290616</t>
  </si>
  <si>
    <t xml:space="preserve">https://www.autoopt.ru/catalog/911424-remen_privodnoj_klinovoj_13h1075_contitech?ysclid=lrfycg5je9248421949</t>
  </si>
  <si>
    <t xml:space="preserve">https://www.ozon.ru/product/remen-klinovidnyy-contitech-art-avx13x1075-contitech-art-avx13x1075-877175124/?utm_medium=organic&amp;utm_referrer=https%3A%2F%2Fyandex.ru%2Fproducts%2Fsearch%3Ftext%3D%25D0%25A0%25D0%25B5%25D0%25BC%25D0%25B5%25D0%25BD%25D1%258C%2520%25D0%25BF%25D1%2580%25D0%25B8%25D0%25B2%25D0%25BE%25D0%25B4%25D0%25BD%25D0%25BE%25D0%25B9%2520%25D0%25B3%25D0%25B5%25D0%25BD%25D0%25B5%25D1%2580%25D0%25B0%25D1%2582%25D0%25BE%25D1%2580%25D0%25B0%2520AVX13-1075%2520La%2520SF%25204102%2520&amp;utm_source=yandex_serp_products</t>
  </si>
  <si>
    <t xml:space="preserve">https://tss52.com/catalog/zapchasti/dlya-dizelnykh-dvigateley/perkins-dizel/perkins-404-d-22g-ad-16-m18/remen-privoda-generatora-998-378-10000-66575-fg-wilson/?ysclid=lrfykes390518290689</t>
  </si>
  <si>
    <t xml:space="preserve">https://impart.online/catalog/remen-generatora-sobstvennykh-nuzhd-998-105-ch11202-fg-wilson-1bsl733/?ysclid=lrfym32od5607556973</t>
  </si>
  <si>
    <t xml:space="preserve">https://www.energobaza.ru/catalog/zapchasti/zapchasti_dlya_evropeyskikh_dizelnykh_dvigateley_1/zapchasti_perkins/404_d_22g_ad_16_m18/remen_privoda_generatora_998_378_10000_66575_fg_wilson/?ysclid=lrfyndaxza176583215</t>
  </si>
  <si>
    <t xml:space="preserve">https://rinmarket.ru/catalog/remni_privodnye/klinovye/remni_klinovye_zubchatye_xpz_xpa_xpb_xpc_avx10_avx13_zx_ax_bx/33117/?ysclid=lrfyvvrvzw421991483</t>
  </si>
  <si>
    <t xml:space="preserve">https://tm-tv.ru/katalog/jelektrooborudovanie/remni-generatora/remen-privodnoj-zubchatyj-xpz0860lw873la-an-85h8h850-rubena-34304.html?ysclid=lrfyxnvimm290822061</t>
  </si>
  <si>
    <t xml:space="preserve">Во всех ИЦИ не корректны технические характеристики</t>
  </si>
  <si>
    <t xml:space="preserve">ЗАПРОС</t>
  </si>
  <si>
    <t xml:space="preserve"> Объёдинить п. 60 и п.65</t>
  </si>
  <si>
    <t xml:space="preserve">ИЦИ-3 не соответствует техническим характеристикам</t>
  </si>
  <si>
    <t xml:space="preserve">https://fg-wilson.ru/product/filtr-vozdushnyy-10000-51238-901-047-901-518-26510337-art-10000-51238?ysclid=lrg0ayhlho332448606</t>
  </si>
  <si>
    <t xml:space="preserve">https://www.parts-puzzle.ru/collection/fg-wilson-2/product/filtr-vozdushnyy-10000-51238-901-047-901-518-26510337-art-10000-51238?ysclid=lrg09e8jyt182541527</t>
  </si>
  <si>
    <t xml:space="preserve">https://impart.online/catalog/filtr-vozdushnyy-10000-51238-901-047-901-518-26510337-fg-wilson-5146k9/?ysclid=lrg07ju2qs678547564</t>
  </si>
  <si>
    <t xml:space="preserve">https://gcrichtone.com/product/filtr-vozdushnyj-901-046-26510362-915-660/?ysclid=lrg0l71eot968236365</t>
  </si>
  <si>
    <t xml:space="preserve">https://impart.online/catalog/filtr-vozdushnyy-901-046-26510362-915-660-fg-wilson-xn7xg/?ysclid=lrg0kx42jh826703268</t>
  </si>
  <si>
    <t xml:space="preserve">https://fg-wilson.ru/product/filtr-vozdushnyy-901-046-26510362-915-660-art-901-046?ysclid=lrg0kaunm6633705668</t>
  </si>
  <si>
    <t xml:space="preserve">https://onlyfork.com/zapchasti-dlya-to/filtr-vozdushnyy/filtr-vozdushnyy-perkins-26510342/</t>
  </si>
  <si>
    <t xml:space="preserve">https://www.hited-shop.ru/product/filtr-vozdushnyy-element-air-filter-element-art26510342?ysclid=lrg13aqner453058053</t>
  </si>
  <si>
    <t xml:space="preserve">https://fg-wilson.ru/product/filtr-vozdushnyy-elementair-filter-element-art-901-048?ysclid=lrg11j8syx37759646</t>
  </si>
  <si>
    <t xml:space="preserve">https://www.chipdip.ru/product0/8015637254</t>
  </si>
  <si>
    <t xml:space="preserve">https://www.autoopt.ru/catalog/745030-filtr_vozdushnyj_mtz_dv_lombardini_fleetguard?ysclid=lrg194bflf704099102</t>
  </si>
  <si>
    <t xml:space="preserve">https://www.avtoall.ru/filtr_vozdushnyiy_mtz__dv_lombardini__fleetguard-745030/?ysclid=lrg192esg1658873910</t>
  </si>
  <si>
    <t xml:space="preserve">В ИЦИ-2 и ИЦИ-3 в предоставленных принскринах не соответствие технических характеристик и стоимость в принскринах не соответствует стоимости указанной в расчёте ИЦИ-2 и ИЦИ-3 при формировании среднерыночной цене.</t>
  </si>
  <si>
    <t xml:space="preserve">https://promintel.com/products/lf701-filtr-maslyanyy-fleetguard?ysclid=lrg1insr69156173965&amp;parent-baobab-id=lrg1insr69</t>
  </si>
  <si>
    <t xml:space="preserve">https://motor-components.ru/catalog/filtruyushchie-ehlementy-fleetguard/lube_filter/filtr-maslyanyj-lf701-lf0070100/?ysclid=lrg1jdp6bp311364342</t>
  </si>
  <si>
    <t xml:space="preserve">https://www.ozon.ru/product/maslyanyy-filtr-fleetguard-lf701-825047478/</t>
  </si>
  <si>
    <t xml:space="preserve">Уточнить технические характеристики, тип, марка, артикул.</t>
  </si>
  <si>
    <t xml:space="preserve">Во всех ИЦИ цена указана за 10 л, указать за 1 литр.</t>
  </si>
  <si>
    <t xml:space="preserve">https://market.yandex.ru/product--maslo-transmissionnoe-oilright-tad-17-tm-5-18-80w-90/621410046?sku=100820117859&amp;do-waremd5=tdbffci51lOrFgkblJzgdw&amp;uniqueId=1233211</t>
  </si>
  <si>
    <t xml:space="preserve">https://hyperauto.ru/product/maslo-transmissionnoe-chempioil-tad-17-mineralnoe-api-gl-5-dlya-mostov-20l-art-ch8301-20-e-300940836/?ysclid=lrg23712wm71883276</t>
  </si>
  <si>
    <t xml:space="preserve">https://www.vseinstrumenti.ru/product/transmissionnoe-maslo-forward-gear-tad-17-tm-5-18-api-gl-5-kanistra-20-l-154-2059130/#characteristics</t>
  </si>
  <si>
    <t xml:space="preserve">https://uniform-met.ru/catalog/metizy/gaiki/otsinkovannye-shestigrannye-gayki-gost-5927-70-5915-70-din-934/gayka-shestigrannaya-otsinkovannaya-gost-5927-70-5915-70-din-934-m4/?ysclid=lrg2var7sq240762351</t>
  </si>
  <si>
    <t xml:space="preserve">https://aton40.ru/product/gayka-shestigrannaya-m4-ots-gost5915-70-0-2-kg/?ysclid=lrg2ugerzt155600407</t>
  </si>
  <si>
    <t xml:space="preserve">https://optorg.ru/catalog/krepej_i_takelaj/metricheskiy_krepej/gayki/251740/</t>
  </si>
  <si>
    <t xml:space="preserve">https://optorg.ru/catalog/krepej_i_takelaj/metricheskiy_krepej/gayki/251934/</t>
  </si>
  <si>
    <t xml:space="preserve">http://www.mxt22.ru/catalog/1114/23112/</t>
  </si>
  <si>
    <t xml:space="preserve">https://xn----8sbfg4abmbekcdtv.xn--p1ai/%D0%BA%D1%80%D0%B5%D0%BF%D0%B5%D0%B6/%D0%B3%D0%B0%D0%B9%D0%BA%D0%B0/%D0%BA%D0%BB%D0%B0%D1%81%D1%81_6_0/din934/?id=759699&amp;ysclid=lrg3nigb6h10366300</t>
  </si>
  <si>
    <t xml:space="preserve">Уточнить тех.характеристики, наименование герметика. ИЦИ2 не попадает в коридор 20% </t>
  </si>
  <si>
    <r>
      <rPr>
        <sz val="11"/>
        <rFont val="Calibri"/>
        <family val="2"/>
        <charset val="1"/>
      </rPr>
      <t xml:space="preserve">В ИЦИ-3 указана не кооректная ссылка на другой МТР (хомут нейлоновый). </t>
    </r>
    <r>
      <rPr>
        <sz val="11"/>
        <color rgb="FFFF0000"/>
        <rFont val="Calibri"/>
        <family val="2"/>
        <charset val="1"/>
      </rPr>
      <t xml:space="preserve">Указать характеристики клея, для каких поверхностей. ГОСТ 28780-90 указывает что клей полимерный. </t>
    </r>
  </si>
  <si>
    <t xml:space="preserve">ИЦИ-3 в цена указана без указания цвета краски</t>
  </si>
  <si>
    <t xml:space="preserve">https://www.krasko.ru/catalog/metal/enamel/1/?utm_source=yandex&amp;utm_medium=cpc&amp;utm_campaign=44344548&amp;utm_content=7705200812&amp;utm_term=%D0%BD%D0%B5%D1%80%D0%B6%D0%B0%D0%BC%D0%B5%D1%82&amp;region=11064&amp;region_name=%D0%9D%D0%B5%D0%B2%D0%B8%D0%BD%D0%BD%D0%BE%D0%BC%D1%8B%D1%81%D1%81%D0%BA.desktop.%D0%9D%D0%B5%D0%B2%D0%B8%D0%BD%D0%BD%D0%BE%D0%BC%D1%8B%D1%81%D1%81%D0%BA.17329203209.none&amp;block=other.1&amp;y_ref=none&amp;etext=2202.vjDPEqtdGkW-DpL4k5lbP0pw29AKrlqBkybQap9ImN95z1PnnebSLX8kpDwZfc42xLu6jJHVmsQSW_Fcoo8xF2hneWZnbG1iY2R2eGlqb2c.09b3a23a70bb252cf329cbdf80311380c4597985&amp;yclid=3842756435240026111</t>
  </si>
  <si>
    <t xml:space="preserve">https://spb-orion.ru/product/nerzhamet/?ysclid=lrg7w91j5z245218018</t>
  </si>
  <si>
    <t xml:space="preserve">ИЦИ-2 указана стоимость жёлтой краски, ИЦИ-3 указан цвет синей краски. Привести в соответствие.</t>
  </si>
  <si>
    <t xml:space="preserve">https://kraski-dl.ru/product/kraska-nerzhamet-ral-6029-zelenaya-myata-antikorrozionnaya-poluglyanczevaya-dlya-metalla-krasko/</t>
  </si>
  <si>
    <t xml:space="preserve">ИЦИ-2 не корректно указаны технические характеристики краска Ленинградка, Привести в соответствие. ИЦИ-3 не корректно учитывать стоимость краски исходя из тары 0,9 к при имеющемся варианте рядом тары 10 кг, при общем объёме 120/5=24 кг/год. ИЦИ-1 учитывает  RAL 3001, а ИЦИ-3  RAL 3020, выполнить мониторинг в соответствии с единым цветом</t>
  </si>
  <si>
    <t xml:space="preserve">https://kraski-dl.ru/product/kraska-nerzhamet-ral-3020-transportnyj-krasn/</t>
  </si>
  <si>
    <t xml:space="preserve">ИЦИ-2 не корректно указаны технические характеристики указана краска Ржавомет PROFI ROOF, Привести в соответствие</t>
  </si>
  <si>
    <t xml:space="preserve">https://kraski-dl.ru/product/kraska-nerzhamet-ral-7040-seroe-okno-antikorrozionnaya-poluglyanczevaya-dlya-metalla-krasko/</t>
  </si>
  <si>
    <t xml:space="preserve">В наименовании поправить цвет краски на серый в соответствиис RAL 7032</t>
  </si>
  <si>
    <t xml:space="preserve">https://kraski-dl.ru/product/kraska-nerzhamet-ral-7032-seraya-galka-antikorrozionnaya-poluglyanczevaya-dlya-metalla-krasko/</t>
  </si>
  <si>
    <t xml:space="preserve">https://autopokraska.ru/catalog/promyshlennye_kraski_i_industrialnye_pokrytiya/85831/?ysclid=lrhqt6vsur777133223</t>
  </si>
  <si>
    <t xml:space="preserve">https://kraski-tm.ru/product/2804/3641/nerzhamet-krasko-ral-7032-seraya-galka-antikorrozionnaya-alkidnaya-kraska-dlya-metalla-po-rzhavchine-3-v/?ysclid=lrhqx4bbx110831817</t>
  </si>
  <si>
    <t xml:space="preserve">ИЦИ-3 указана цена серого цвета.  ИЦИ-1 не корректно учитывать стоимость краски исходя из тары 0,9 к при имеющемся варианте рядом тары 10 кг, при общем объёме 676/5=135,2 кг/год.</t>
  </si>
  <si>
    <t xml:space="preserve">https://kraski-dl.ru/product/kraska-nerzhamet-ral-9005-chernyj-yantar-antikorrozionnaya-poluglyanczevaya-dlya-metalla-krasko-20kg/</t>
  </si>
  <si>
    <t xml:space="preserve">https://market.yandex.ru/product--lampa-svetodiodnaia-dlia-bytovoi-tekhniki-philips-essential-led-e27-a60/1779439463?sku=415599005&amp;do-waremd5=0eDAM-M6GH0P8bPKN6w9Vw&amp;uniqueId=4485758</t>
  </si>
  <si>
    <t xml:space="preserve">https://www.svyaznoy.ru/catalog/accessories/8612/7474119?ysclid=lrgdrfrfmm575302995</t>
  </si>
  <si>
    <t xml:space="preserve">https://www.ozon.ru/product/lampochka-philips-lighting-essential-ledbulb-neytralnyy-belyy-svet-e27-11-vt-3-sht-570294256/?asb=l8ZPGKo%252BBvxTZv57oOEys9d0MsUaIcI6H3NJop1Xn5U%253D&amp;asb2=dXMcw99nXbRryvCbb38kkxnKfsi9Gfn-_OTtFYf3-NPd9jola8oc28c9NIeQMyMN&amp;avtc=1&amp;avte=2&amp;avts=1705410882&amp;keywords=%D0%BB%D0%B0%D0%BC%D0%BF%D1%8B+philips+e27+11%D0%B2%D1%82</t>
  </si>
  <si>
    <t xml:space="preserve">https://www.etm.ru/cat/nn/1811446?utm_medium=cpc&amp;utm_source=yandex&amp;utm_campaign=y_shop_brand-navigator_rostov%7C101463955&amp;utm_term=---autotargeting&amp;utm_content=k50id%7C0100000048563700852_48563700852%7Ccid%7C101463955%7Cgid%7C5338897426%7Caid%7C15417854834%7Cadp%7Cno%7Cpos%7Cpremium1%7Csrc%7Csearch_none%7Cdvc%7Cdesktop%7Creg11064%7Cmain&amp;k50id=0100000048563700852_48563700852&amp;yclid=4756586561495367679&amp;city=77</t>
  </si>
  <si>
    <t xml:space="preserve">https://ledgoods.ru/osveshchenie/lamps/svetodiodnye-lampy-g13/lampa-svetodiodnaya-led-22vt-g13-belaya-povorotnyj-tsokol-ustanovka-vozmogna-posle-demontaga-pra-94391-nll-t8/</t>
  </si>
  <si>
    <t xml:space="preserve">https://www.vseinstrumenti.ru/product/svetodiodnaya-lampa-navigator-94-391-nll-t8-22-230-4k-g13-22vt-g13-2000lm-170-260v-94391-906490/</t>
  </si>
  <si>
    <t xml:space="preserve">https://isnab.ru/catalog/lampa_energosberegayushchaya_kll_45_842_e27_d64x157_spiral_kosmos.html</t>
  </si>
  <si>
    <t xml:space="preserve">https://rs24.ru/product/434136</t>
  </si>
  <si>
    <t xml:space="preserve">https://electro-materiali.ru/catalog/lampy-istochniki-sveta/lampy-luminestsentnye/lampy-kompaktnye-lyuministsentnye-i-lyuministsentnye-uniel/102649/?ysclid=lrge9h4ska810928175</t>
  </si>
  <si>
    <t xml:space="preserve">Уточнить характеристики моющего средства, тип, марка, артикул и т.д.</t>
  </si>
  <si>
    <t xml:space="preserve">Учесть ФССЦ-20.3.02.12-0011</t>
  </si>
  <si>
    <t xml:space="preserve">В ИЦИ представлены ТКП на ленту латунную. Указать технические характеристики, размеры, тип, марку, артикул. Ленту латунную учесть по ФССЦ.</t>
  </si>
  <si>
    <t xml:space="preserve">https://market.yandex.ru/product--montazhnyi-klei-ceresit-cb-10-400-g/1778126266?sku=1940189950&amp;do-waremd5=ksx-2k6p5_EQZ4AhF0TGAA&amp;uniqueId=18830963</t>
  </si>
  <si>
    <t xml:space="preserve">https://www.wildberries.ru/catalog/171608886/detail.aspx</t>
  </si>
  <si>
    <t xml:space="preserve">https://www.ozon.ru/product/montazhnyy-kley-tserezit-cb-10-0-4-kg-belyy-1123228345/#section-description--offset-140</t>
  </si>
  <si>
    <t xml:space="preserve">ИЦИ-1 не соответствует техническим характеристикам, указана стоимость МТР Ceresit CN 178,</t>
  </si>
  <si>
    <t xml:space="preserve">https://krasnodar.ceresitshop.ru/catalog/ustroystvo-polov/rovniteli-dlya-pola/ceresit-cn-76?type=1</t>
  </si>
  <si>
    <t xml:space="preserve">https://www.albia.ru/shpaklevki-i-shtukaturki/materialy-dlya-ustroystva-polov/vyravnivayushchie-sostavy/ceresit-cn-76/?ysclid=lrgfqmjmlb329839066</t>
  </si>
  <si>
    <t xml:space="preserve">https://ceresit-yauza.ru/catalog/ustrojstvo-polov/nalivnyie-polyi/ceresit-cn-76?ysclid=lrggmy9sxc409693629</t>
  </si>
  <si>
    <t xml:space="preserve">Во всех ИЦИ не корректно указаны технические характеристики , указан герметик Premium.</t>
  </si>
  <si>
    <t xml:space="preserve">https://www.vseinstrumenti.ru/product/universalnyj-germetik-ceresit-cs-24-prozrachnyj-2005218-2392744/?ysclid=lrggpjlsko620944375</t>
  </si>
  <si>
    <t xml:space="preserve">https://ceresitshop.ru/catalog/penyi-germetiki-klei/germetiki/ceresit-cs-24?ysclid=lrggqzeysl365402111</t>
  </si>
  <si>
    <t xml:space="preserve">https://www.albia.ru/laki-kraski-morilki-emali-grunty/germetiki/germetik-silikonoviy-ceresit-cs-24-beliy-280-ml/?ysclid=lrggvrp4kt699513826</t>
  </si>
  <si>
    <t xml:space="preserve">https://www.wildberries.ru/catalog/157895120/detail.aspx</t>
  </si>
  <si>
    <t xml:space="preserve">https://stavropol.tstn.ru/product/shpaklyevka-tsementnaya-ceresit-ct-225-fasadnaya-finishnaya-belaya-25-kg/?ysclid=lrgh5ctk5c577690652&amp;utm_referrer=https%3A%2F%2Fya.ru%2F</t>
  </si>
  <si>
    <t xml:space="preserve">https://rdstroy.ru/catalog/shpatlevki_tsementnye/ct_225_25_shpatlyevka_fasad_finish_belaya_48_sht_pod_ceresit/?ysclid=lrghac01ib498078557</t>
  </si>
  <si>
    <t xml:space="preserve">В ИЦИ-1 и ИЦИ-2 указана одна и та же ссылка, что не соответствует предоставленным принскринам</t>
  </si>
  <si>
    <t xml:space="preserve">https://stavropol.leroymerlin.ru/product/shtukaturka-cementnaya-cerezit-ct29-i-remontnaya-shpaklevka-25-kg-12757860/?ysclid=lrghka40lq578067494&amp;fromRegion=34</t>
  </si>
  <si>
    <t xml:space="preserve">https://megamarket.ru/catalog/details/shtukaturka-i-remontnaya-shpaklevka-ct-29-25-kg-ceresit-600004815820/?ysclid=lrghlhaacy675778105</t>
  </si>
  <si>
    <t xml:space="preserve">В ИЦИ-2 стоимость указанная в принскрине не соответствует стоимости указанной в расчете среднерыночной цены</t>
  </si>
  <si>
    <t xml:space="preserve">https://stavropol.leroymerlin.ru/product/kley-dlya-plitki-i-keramogranita-cerezit-cm-14-extra-25-kg-82040394/?ysclid=lrghtm2zpp77919402&amp;fromRegion=34</t>
  </si>
  <si>
    <t xml:space="preserve">https://moscow.petrovich.ru/product/133054/?ysclid=lrghuut71p901806098</t>
  </si>
  <si>
    <t xml:space="preserve">https://www.albia.ru/kley-dlya-plitki-i-kamnya/kley-tsementniy-ceresit-cm-14-extra-dlya-plitki-i-keramogranita-seriy-25-kg/?ysclid=lrghvycath305493588</t>
  </si>
  <si>
    <t xml:space="preserve">https://twowin.ru/product/pena-montazhnaya-professionalnaya-ts-62-ceresit-750-ml/</t>
  </si>
  <si>
    <t xml:space="preserve">http://www.n-dom.ru/pena/ceresit_ts_62</t>
  </si>
  <si>
    <t xml:space="preserve">https://ceresitshop.ru/catalog/penyi-germetiki-klei/penyi/ceresit-ts-62?ysclid=lrgi6lekf8124527626</t>
  </si>
  <si>
    <t xml:space="preserve">В ИЦИ-1 и ИЦИ-3 указан цвет белый, в ИЦИ-2 цвет, бирюза. Выполнить мониторинг МТР белого цвета на основании откорректированного перечня</t>
  </si>
  <si>
    <t xml:space="preserve">Ceresit СЕ 40 Aquastatic, затирка для швов (цвет белый).</t>
  </si>
  <si>
    <t xml:space="preserve">https://leroymerlin.ru/product/zatirka-cementnaya-cerezit-ce-40-vodoottalkivayushchaya-cvet-belyy-2-kg-12778258/?ysclid=lrhj5sfrxs18997446</t>
  </si>
  <si>
    <t xml:space="preserve">https://www.vseinstrumenti.ru/product/zatirka-ceresit-aquastatic-se-40-belaya-01-vedro-2-kg-1-12-48-16376-1242025/</t>
  </si>
  <si>
    <t xml:space="preserve">https://som1.ru/catalog/zatirki_dlya_plitki/zatirka_dlya_plitki_ceresit_ce_40_2_kg_belaya/</t>
  </si>
  <si>
    <t xml:space="preserve">На основании откорректированного перечня, выполнить мониторинг цвет серый RAL 7040. Объеденить п.2 и п. 98</t>
  </si>
  <si>
    <t xml:space="preserve">Грунт-эмаль по ржавчине «КОРРОЕД» цвет серый RAL 7040 ГОСТ Р 51693-2000 </t>
  </si>
  <si>
    <t xml:space="preserve">https://reflex.sale/katalog/membrannye-baki-dlia-sistem-otopleniia/s-50-250/bak-membrannij-reflex-s-100-10bar120c-serij-art-8210500</t>
  </si>
  <si>
    <t xml:space="preserve">https://teplo-com.ru/catalog/179460/?ysclid=lrhbplikrp807169946</t>
  </si>
  <si>
    <t xml:space="preserve">https://www.teremonline.ru/catalog/inzhenernaya-santekhnika/membrannye-baki/3524_dlya-sistem-otopleniya/reflex-membrannyy-bak-s-100/?ysclid=lrhbosz6ek358607416</t>
  </si>
  <si>
    <t xml:space="preserve">Указать тип, марку, артикул и т.д. В соответствии с откорректированной ВОР замок навесной ЧАЗ ВС2А</t>
  </si>
  <si>
    <t xml:space="preserve">https://www.vseinstrumenti.ru/product/navesnoj-zamok-chaz-vs2a-3015-1077509/?ysclid=lrhcxsso2r457201903</t>
  </si>
  <si>
    <t xml:space="preserve">https://www.zamki-mira.ru/zamki/navesnye-zamki/zamok-navesnoy-chaz-vs2a/?ysclid=lrhcye3svq997956368</t>
  </si>
  <si>
    <t xml:space="preserve">https://tlock.ru/catalog/zamki_navesnye/obshchego_naznacheniya/usilennaya_zashchita/vs_2a/zamok_navesnoy_vs2a/?ysclid=lrhcyn6bep873360214</t>
  </si>
  <si>
    <t xml:space="preserve">Учесть по ФССЦ-14.3.02.01-0310 </t>
  </si>
  <si>
    <t xml:space="preserve">Исключить, учтено в смете по ФСЦЦ</t>
  </si>
  <si>
    <t xml:space="preserve">https://promportal.su/goods/40558219/gipsovaya-shpatlevka-finishnaya-abs-saten-abs-saten-turciya.htm?ysclid=lrhdh95jk1220262560</t>
  </si>
  <si>
    <t xml:space="preserve">http://www.stk-industry.ru/shpaklevka/shpaklevka-gipsovaya-abs-saten-abs-saten-25-kg</t>
  </si>
  <si>
    <t xml:space="preserve">https://www.stroyportal.ru/catalog/section-shpatlevka-159/abs-saten-shpaklevka-finishnaya-gipsovaya-25kg-692343017/?ysclid=lrhdkayjql120649468</t>
  </si>
  <si>
    <t xml:space="preserve">https://krasnodar.leroymerlin.ru/product/elektrod-svarochnyy-dlya-stali-esab-ano-21-3-mm-53-kg-89143881/?ysclid=lrhdo7fav3372284498&amp;fromRegion=3752</t>
  </si>
  <si>
    <t xml:space="preserve">https://optorg.ru/catalog/instrument_i_oborudovanie/elektrosvarochnoe_oborudovanie/elektrody/244424/</t>
  </si>
  <si>
    <t xml:space="preserve">https://www.onlinetrade.ru/catalogue/elektrody_dlya_svarochnogo_oborudovaniya-c5595/esab/elektrody_esab_ano_21_3_0x350_mm_5_3_kg_00006683204-3715974.html?utm_referrer=https%3a%2f%2fya.ru%2f</t>
  </si>
  <si>
    <t xml:space="preserve">https://www.ozon.ru/product/germetik-prokladka-abro-krasnyy-85g-327925088/?asb=6AZrGAAE7D3Yn4Kwjj%252FJlz3WEzxNLVnMHKrKyvLEVBE%253D&amp;asb2=d2ajxYnx6eoyy_K_mMyxQGvhI194tbPg8G9mKvCykIN1k5JDsCd3tFLUmqUJ31hk&amp;avtc=1&amp;avte=2&amp;avts=1692786350&amp;keywords=abro+11ab-r&amp;sh=R9--O0pgRg</t>
  </si>
  <si>
    <t xml:space="preserve">https://stavropol.leroymerlin.ru/product/germetik-abro-11-ab-ch-re-s-85-g-90715820/?ysclid=llnl6q54jw612658047&amp;fromRegion=34</t>
  </si>
  <si>
    <t xml:space="preserve">https://new.optorg.ru/catalog/avtomobilnye_tovary_shiny/avtohimiya/germetiki_avtomobilnye/155763/?ysclid=llnks5ytfg726576769</t>
  </si>
  <si>
    <t xml:space="preserve">https://www.chipdip.ru/product0/8013684233?ysclid=lte3qdzzzn752023695</t>
  </si>
  <si>
    <t xml:space="preserve">https://optorg.ru/catalog/avtomobilnye_tovary_shiny/avtohimiya/germetiki_avtomobilnye/155763/?ysclid=llnks5ytfg726576769</t>
  </si>
  <si>
    <t xml:space="preserve">https://market.yandex.ru/product--grunt-emal-3-v-1-po-rzhavchine-korroed-mister-hardmax-1-9kg-ral7042-seryi/1415688123?glfilter=14871214%3A14896295_101418402025&amp;glfilter=14805551%3A2~2_101418402025&amp;glfilter=23674510%3A1.9~1.9_101418402025&amp;cpc=d2W_gXRr68MJgPNKUG8jj_XTtjihJ0Bpm7tEDjwV6ZvpZSaQ0SG83y88EawYeDtxZVaBnFf_xXf9QiDaAT7-8WDuXfN5QWAqNzHGoDdCFNdH6ymLyR6GDW0a07yKY06Du4ob9xnnR8qSny1gQyyrNfYha8-eQYFdM-PeHV249h0BNp8ndqxyNw%2C%2C&amp;from-show-uid=16703941388326535112300003&amp;sku=101418402025&amp;do-waremd5=DM83Nep4PIHJUOySSrOyDw&amp;sponsored=1&amp;cpa=1&amp;uniqueId=64714957</t>
  </si>
  <si>
    <t xml:space="preserve">https://avtoleon.com/catalog/avtoemali_i_raskhodnye_materialy/avtoemali/industrialnye_emali_ral/grunt_emal_3v1/ral_7040_grunt_emal_korroed_po_rzhavchine_okonnyy_seryy_0_9kg_mister_hardmax/</t>
  </si>
  <si>
    <t xml:space="preserve">https://stavropol.vseinstrumenti.ru/product/grunt-emal-po-rzhavchine-hardmax-korroed-ral-7035-svetlo-seryj-banka-1-9-kg-1-sht-4690417071609-1853418/?ysclid=llum50i6g0715464475</t>
  </si>
  <si>
    <t xml:space="preserve">https://kraski-st.ru/grunt-ehmal-po-rzhavchine-hardmax-korroed-ral-7035-svetlo-seryy-banka-1-9-kg-1-sht-4690417071609/?ysclid=lte42czer592034624</t>
  </si>
  <si>
    <t xml:space="preserve">Кран шаровый  Ø 15, 11Б27п латунный, муфтовый, PN 16 бар артикул BN129-01015</t>
  </si>
  <si>
    <t xml:space="preserve">https://www.techmarcet.ru/krany-sharovye/latunnye/kran-sharovyy-11b27p-RUS/</t>
  </si>
  <si>
    <t xml:space="preserve">https://tehprommarket.com/product/кран-11б-27п-ду-15-газ/</t>
  </si>
  <si>
    <t xml:space="preserve">https://gremir.ru/krany-sharovye/latunnye/11b27p1-muftovye/11b27p1-du-15/</t>
  </si>
  <si>
    <t xml:space="preserve">https://xn----9sbdivewfgabjkdjrs7m.xn--p1ai/shop/UID_39661.html?ysclid=ltcw6ulyv6239712780</t>
  </si>
  <si>
    <t xml:space="preserve">https://www.vseinstrumenti.ru/product/sharovoj-kran-baz-11b27p1-du15-a30-vr-vr-rychag-latun-baz-a30-0-15-1555380/</t>
  </si>
  <si>
    <t xml:space="preserve">Кран шаровый  Ø 20, 11Б27п латунный, муфтовый, PN 16 бар артикул BN129-01020</t>
  </si>
  <si>
    <t xml:space="preserve">https://teharmatura.ru/catalog/truboprovodnaya-armatura/krany/krany_latunnye/31473/</t>
  </si>
  <si>
    <t xml:space="preserve">https://tehtepla.ru/catalog/krany/latunnye_krany/11620/</t>
  </si>
  <si>
    <t xml:space="preserve">https://tula.elfgroup.ru/catalog/zapornaya-i-reguliruyushchaya-armutura/krany/krany-sharovye-latunnye/krany-analog-11b27p/kran-sharovoy-11b27p1-g-g-rychag-du25/</t>
  </si>
  <si>
    <t xml:space="preserve">https://dominant-perm.ru/katalog/krany/kran-sharovyj-muftovyj-11b27p1-nr-vr-du20-ru16</t>
  </si>
  <si>
    <t xml:space="preserve">Кран шаровой водоразборный 1019 (1019-01) Aquasfera 1/2″ Ду15 Ру16 стандартнопроходной, никелированный, ручка-рычаг</t>
  </si>
  <si>
    <t xml:space="preserve">https://rdstroy.ru/catalog/krany_sharovye_vodorazbornye/kran_vodorazbornyy_1019du15_ru16_n_r_poln_rych1019_01_aquasfera/</t>
  </si>
  <si>
    <t xml:space="preserve">https://aqcn.ru/zapornaya_armatura/krany_latunnye_vodorazbornye/kran_sharovoy_vodorazbornyy_latun_so_shtucerom_1019_du_15_ru16_nrshtuc_g12_rychag_aquasfera_1019_01/</t>
  </si>
  <si>
    <t xml:space="preserve">https://www.santech.ru/spb/catalog/317/329/i15230/v57475/</t>
  </si>
  <si>
    <t xml:space="preserve">https://stavropol.dn.ru/sharovyi-kran/teplosnabzhenie/rezbovye-kran/standartnyi/aquasfera/1019/dn15</t>
  </si>
  <si>
    <t xml:space="preserve">https://teplosnab24.ru/truboprovodnaya-armatura/krany-sharovye/latunnye-sharovye-krany/kran-sharovoj-aquasfera-vodorazbornyj-latun-1019-du15-ru16-r-shtucz-rych-1019-01/?yandex_visit=1668415308865616927</t>
  </si>
  <si>
    <t xml:space="preserve">Кран шаровой водоразборный 1019 Aquasfera 3/4″ Ду20 Ру16 стандартнопроходной, никелированный, ручка-рычаг (1019-02)</t>
  </si>
  <si>
    <t xml:space="preserve">https://mosopttorg.com/kran-sharovoy-vodorazbornyy-latun-so-shtucerom-1019-du-20-ru16-nr-g3-4-rychag-aquasfera-1019-02/</t>
  </si>
  <si>
    <t xml:space="preserve">https://gremir.ru/krany-sharovye/latunnye/krany-aquasfera/krany-aquasfera-1019/rychag-20-3-4/</t>
  </si>
  <si>
    <t xml:space="preserve">https://pkf-m.ru/kranyi-latunnyie-vodorazbornyie/304826/</t>
  </si>
  <si>
    <t xml:space="preserve">https://teharmatura.ru/catalog/truboprovodnaya-armatura/krany-vodorazbornye/343108/?ysclid=ltcx72ucae526179637</t>
  </si>
  <si>
    <t xml:space="preserve">https://gremir.ru/krany-sharovye/latunnye/krany-aquasfera/krany-aquasfera-1019/rychag-20-3-4/?ysclid=ltcxgwx5kn859295355</t>
  </si>
  <si>
    <t xml:space="preserve">https://www.ozon.ru/product/kran-sharovoy-vodorazbornyy-du20-nr-rychag-aquasfera-1020621948/?utm_medium=organic&amp;utm_source=yandex_serp_products</t>
  </si>
  <si>
    <t xml:space="preserve">https://stavropol.220-volt.ru/catalog-348307/</t>
  </si>
  <si>
    <t xml:space="preserve">https://tdnws.ru/catalog/santekhnika/smesiteli/smesitel_dlya_rakoviny_profsan_psm_759_044_plyus_tip_sm_umotsba/</t>
  </si>
  <si>
    <t xml:space="preserve">https://www.santech.ru/catalog/444/453/i8281/v1/</t>
  </si>
  <si>
    <t xml:space="preserve">https://www.kirelis.ru/catalog/podshipniki/sharikovie-radialnie-otkrytie/id_51853/</t>
  </si>
  <si>
    <t xml:space="preserve">https://podshipnik-td.ru/catalog/bearrings/sharikovye/ballsinglerow/podshipnik-6308-308-skf/</t>
  </si>
  <si>
    <t xml:space="preserve">https://podshipnik-td.ru/catalog/bearrings/sharikovye/ballsinglerow/podshipnik-6308-308-skf/?ysclid=lryxqgmm3s806604113</t>
  </si>
  <si>
    <t xml:space="preserve">https://www.kirelis.ru/catalog/podshipniki/sharikovie-radialnie-otkrytie/id_51853/?ysclid=lryxrw2p8j420145955</t>
  </si>
  <si>
    <t xml:space="preserve">https://podshipnikpro.store/catalog/sharikovye_podshipniki/sharikovye_radialnye/podshipnik_6308_skf/?ysclid=lryxu4bdu403087403</t>
  </si>
  <si>
    <t xml:space="preserve">https://hyperauto.ru/product/antifriz-sintec-antifreeze-luxe-oat-g12-krasnyy-40-c-1kg-art-990550-301021405/</t>
  </si>
  <si>
    <t xml:space="preserve">https://maslomart.com/catalog/antifriz_sintec_luxe_g_12_40_krasnyy_1kg/</t>
  </si>
  <si>
    <t xml:space="preserve">https://www.autodoc.ru/man/7303/part/990550</t>
  </si>
  <si>
    <r>
      <rPr>
        <sz val="11"/>
        <color rgb="FF000000"/>
        <rFont val="Arial"/>
        <family val="2"/>
        <charset val="1"/>
      </rPr>
      <t xml:space="preserve">Ремень приводной генератора 2614В655 Perkins 197  9289 Pje 51  (в смете артикул Ремень приводной генератора 2614В</t>
    </r>
    <r>
      <rPr>
        <sz val="11"/>
        <color rgb="FFFF0000"/>
        <rFont val="Arial"/>
        <family val="2"/>
        <charset val="1"/>
      </rPr>
      <t xml:space="preserve">5</t>
    </r>
    <r>
      <rPr>
        <sz val="11"/>
        <color rgb="FF000000"/>
        <rFont val="Arial"/>
        <family val="2"/>
        <charset val="1"/>
      </rPr>
      <t xml:space="preserve">55 Perkins 197  9289 Pje 51, прошу проверить)</t>
    </r>
  </si>
  <si>
    <t xml:space="preserve">Ремень зубчатый клиновой AVX13-1325 La</t>
  </si>
  <si>
    <t xml:space="preserve">http://www.stalenergo96.ru/goods/233601679-remen_zubchaty_klinovoy_avx13_1325_la</t>
  </si>
  <si>
    <t xml:space="preserve">https://tnmk-tula.ru/remen-klinovoy-avx13-1325-la-zub-himpt?ysclid=ltcz8rry34603917778</t>
  </si>
  <si>
    <t xml:space="preserve">https://cable.ru/belts/belts-remen_klinovoi_zubchatii_avx13_1325_la.php</t>
  </si>
  <si>
    <t xml:space="preserve">https://autopiter.ru/goods/avx131325/avtokomponent/id167171642?ysclid=ltczaz8sxs400466388</t>
  </si>
  <si>
    <t xml:space="preserve">https://www.eco-rti.ru/goods/193638750-remen_ventilyatorny_zub_avx13_1325_la_pix?utm_referrer=https%3A%2F%2Fyandex.ru%2Fproducts%2Fsearch%3Ftext%3D%25D0%25A0%25D0%25B5%25D0%25BC%25D0%25B5%25D0%25BD%25D1%258C%2520%25D0%25B7%25D1%2583%25D0%25B1%25D1%2587%25D0%25B0%25D1%2582%25D1%258B%25D0%25B9%2520%25D0%25BA%25D0%25BB%25D0%25B8%25D0%25BD%25D0%25BE%25D0%25B2%25D0%25BE%25D0%25B9%2520AVX13-1325%2520La</t>
  </si>
  <si>
    <t xml:space="preserve">https://impart.online/catalog/filtr-vozdushnyy-10000-51238-901-047-901-518-26510337-fg-wilson-5146k9/</t>
  </si>
  <si>
    <t xml:space="preserve">https://motor-components.ru/catalog/filtruyushchie-ehlementy-fleetguard/lube_filter/filtr-maslyanyj-lf701-lf0070100/</t>
  </si>
  <si>
    <t xml:space="preserve">https://promintel.com/products/lf701-filtr-maslyanyy-fleetguard</t>
  </si>
  <si>
    <t xml:space="preserve">https://sv62.ru/products/ABRO/SS2400REDAMRE.html</t>
  </si>
  <si>
    <t xml:space="preserve">https://автошик.рф/catalog/avtokhimiya/germetiki/germetiki_formirovateli_prokladok/182742/</t>
  </si>
  <si>
    <t xml:space="preserve">https://stavropol.leroymerlin.ru/product/germetik-prokladok-abro-masters-vysokotemperaturnyy-krasnyy-310-ml-90758435/</t>
  </si>
  <si>
    <t xml:space="preserve">Герметик силиконовый Axton прозрачный 280 мл</t>
  </si>
  <si>
    <t xml:space="preserve">https://santreyd.ru/product/85272206-klej-germetik-montazhnyj-gibridnyj-polimer-280-ml-belyj-stlm-0060705-axton/</t>
  </si>
  <si>
    <t xml:space="preserve">https://msk.blizko.ru/products/488731964-germetik_universalny_silikonovy_axton_280_ml_bestsvetny_neytralny_none</t>
  </si>
  <si>
    <t xml:space="preserve">https://leroymerlin.ru/product/germetik-silikonovyy-axton-prozrachnyy-280-ml-86255262/?utm_referrer=https%3A%2F%2Fyandex.ru%2Fsearch%2F%3Ftext%3D%25D0%2593%25D0%25B5%25D1%2580%25D0%25BC%25D0%25B5%25D1%2582%25D0%25B8%25D0%25BA%2B%25D1%2581%25D0%25B8%25D0%25BB%25D0%25B8%25D0%25BA%25D0%25BE%25D0%25BD%25D0%25BE%25D0%25B2%25D1%258B%25D0%25B9%2BAxton%2B%25D0%25BF%25D1%2580%25D0%25BE%25D0%25B7%25D1%2580%25D0%25B0%25D1%2587%25D0%25BD%25D1%258B%25D0%25B9%2B280%2B%25D0%25BC%25D0%25BB%26clid%3D2714389%26win%3D619%26lr%3D11064</t>
  </si>
  <si>
    <t xml:space="preserve">https://vsem-podryad.ru/product/e9fe5677-9b7c-45fe-aad1-050fc4b4965c/?region=Stavropolskij_kraj</t>
  </si>
  <si>
    <t xml:space="preserve">https://stavropol.leroymerlin.ru/product/germetik-silikonovyy-axton-prozrachnyy-280-ml-86255262/?oid=zcaeedoiz&amp;statid=58_415255&amp;sub=415255&amp;erid=25H8d7vbP8SRTvGa615iug&amp;partners=admitad&amp;wid=admitad&amp;clickid=39ccd1fe21bf9e8f5248c401a3442ad7&amp;utm_medium=cpa&amp;utm_source=admitad&amp;utm_campaign=2578282&amp;fromRegion=34</t>
  </si>
  <si>
    <t xml:space="preserve">https://market.yandex.ru/product--germetik-silikonovyi-axton-belyi-280-ml/1926110678?sku=102367936786&amp;do-waremd5=vL-pjvhR0VVa6xKEwP4GdQ&amp;uniqueId=41325745&amp;cpc=fJ8Nf9aGork_PPKBRn5z3RAePOcPjywgkq-VPDmOh4nKSpzhmqP5t5nFy_0nehuEMzok0BWwLzY1aisxxftO3351uuPZJON64AhQr2EHBin7RX7SP5WO7p6fwMoawEYFouqvWIMJdQI5IuwX2rs-oSz020X1mBtmckv8uiULgCedoqZq93WWFN9hg7-93iPJKOYO-deNVq1gYYo6nc2oYQ%2C%2C</t>
  </si>
  <si>
    <t xml:space="preserve">Клей полимерный Момент Монтаж, 0,25 л</t>
  </si>
  <si>
    <t xml:space="preserve">https://shop220.ru/b0022977-kley-moment-montazh-polimernyy-kley-025-l.htm</t>
  </si>
  <si>
    <t xml:space="preserve">https://rezar.ru/catalog/kley-polimernyy-moment-montazh-0-25-l/</t>
  </si>
  <si>
    <t xml:space="preserve">https://tula.lustrof.ru/polimernyj-klej-moment-montazh-0-25-l-28-1400-1897367-/</t>
  </si>
  <si>
    <t xml:space="preserve">https://www.wildberries.ru/catalog/147489787/detail.aspx</t>
  </si>
  <si>
    <t xml:space="preserve">https://vertical.ru/product/kley-polimernyy-moment-montazh-0-25-l/?ysclid=ltd01vqcg935509809</t>
  </si>
  <si>
    <t xml:space="preserve">Краска желтая «Нержамет» ТУ 2312-007-98310821-08</t>
  </si>
  <si>
    <t xml:space="preserve">https://www.krasko.ru/catalog/metal/enamel/1/</t>
  </si>
  <si>
    <t xml:space="preserve">Краска зеленая «Нержамет» ТУ 2312-007-98310821-08</t>
  </si>
  <si>
    <t xml:space="preserve">https://stavropol.krasko.ru/catalog/metal/enamel/1/</t>
  </si>
  <si>
    <t xml:space="preserve">Краска красная «Нержамет» ТУ 2312-007-98310821-08</t>
  </si>
  <si>
    <t xml:space="preserve">https://promsnab.me/catalog/lakokrasochnye_materialy/grunt_emal/nerzhamet/</t>
  </si>
  <si>
    <t xml:space="preserve">Краска серая «Нержамет» ТУ 2312-007-98310821-08</t>
  </si>
  <si>
    <t xml:space="preserve">Эмаль универсальная высокопрочная индустриальная алкидная глянцевая KUDO RAL 7032 серая галька KU-07032 (0,52 л)</t>
  </si>
  <si>
    <t xml:space="preserve">балл</t>
  </si>
  <si>
    <t xml:space="preserve">https://kudo-trade.ru/p/emal-alkidnaya-universalnaya-520-ml-aerozol-kudo-ral7032-seraya-galka-ku-07032</t>
  </si>
  <si>
    <t xml:space="preserve">https://www.chipdip.ru/product0/8001835830</t>
  </si>
  <si>
    <t xml:space="preserve">https://www.vseinstrumenti.ru/product/universalnaya-emal-kudo-ral-7032-seraya-galka-11601683-1085832/</t>
  </si>
  <si>
    <t xml:space="preserve">https://megamarket.ru/catalog/details/emal-kudo-universalnaya-ral-7032-seraya-galka-600000704275/?ysclid=ltdy03ml7d947495139</t>
  </si>
  <si>
    <t xml:space="preserve">https://www.chipdip.ru/product0/8001835830?ysclid=ltdxxmu7ng850522900</t>
  </si>
  <si>
    <t xml:space="preserve">Краска черная «Нержамет» ТУ 2312-007-98310821-08</t>
  </si>
  <si>
    <t xml:space="preserve">https://postroyka-nv.ru/catalog/show/Emal_NERZHAMETRAL9005chernyj20kg</t>
  </si>
  <si>
    <t xml:space="preserve">Средство моющее техническое МС-203 Лабомид</t>
  </si>
  <si>
    <t xml:space="preserve">https://himreactiv.ru/catalog/khimreaktivy_1/khimicheskie_reaktivy_osch_khch_chda_tekhnicheskie/_203_40_2381_005_10417155_2004/?ysclid=lsvqvgnglz766710256</t>
  </si>
  <si>
    <t xml:space="preserve">https://lenreactiv.ru/shop/himicheskaya/tehnicheskaya_himiya/113022/?ysclid=lsvqrnw35j92629906</t>
  </si>
  <si>
    <t xml:space="preserve">https://armada51.ru/catalog/khimiya_promyshlennaya_laboratornoe_oborudovanie/khimiya_promyshlennaya/dlya_moyki_dezinfektsii_i_basseynov/12303/?ysclid=lsvrgcz4gz555937360</t>
  </si>
  <si>
    <t xml:space="preserve">Ceresit СЕ 40 Aquastatic, затирка для швов. Цвет белый</t>
  </si>
  <si>
    <t xml:space="preserve">Грунт-эмаль по ржавчине «КОРРОЕД», RAL 7040 (серый). ГОСТ Р 51693-2000 </t>
  </si>
  <si>
    <t xml:space="preserve">https://b-a-v.ru/catalog/ZY-Q9855/?ysclid=lrhmaljvis741090532</t>
  </si>
  <si>
    <t xml:space="preserve">https://www.chipdip.ru/product0/8018241711</t>
  </si>
  <si>
    <t xml:space="preserve">https://www.vseinstrumenti.ru/product/grunt-emal-po-rzhavchine-hardmax-korroed-ral-7040-okonnyj-seryj-banka-1-9-kg-1-sht-4690417071739-1853434/?ysclid=lrhm8q3bpt981440697</t>
  </si>
  <si>
    <t xml:space="preserve">Стеклопакет однокамерный, 4-16-4. Стекло марки М1 листовое бесцветное</t>
  </si>
  <si>
    <t xml:space="preserve">ИП Одражий И.М.ТКП</t>
  </si>
  <si>
    <t xml:space="preserve">WDS</t>
  </si>
  <si>
    <t xml:space="preserve">ИП Циневич К.К.</t>
  </si>
  <si>
    <t xml:space="preserve">Оконная компания «Панорама»                 г. Невинномысск megastroy26@mail.ru</t>
  </si>
  <si>
    <t xml:space="preserve">ОК Всё в дом г. Невинномысск 8-928-314-77-99</t>
  </si>
  <si>
    <t xml:space="preserve">Окна плюс. Ул. Павлова, 2            г. Невинномысск 8-928-377-99-55</t>
  </si>
  <si>
    <t xml:space="preserve">Лампа светодиодная LED 50вт Е40 дневной LLE-HP-50-230-65-E40 IEK</t>
  </si>
  <si>
    <t xml:space="preserve">https://optorg.ru/catalog/osveshchenie/istochniki_sveta/lampy_svetodiodnye/254992/</t>
  </si>
  <si>
    <t xml:space="preserve">https://iekrussia.ru/lampa-svetodiodnaja-iek-hp-50vt-230v-6500k-e40-lle-hp-50-230-65-e40</t>
  </si>
  <si>
    <t xml:space="preserve">https://led-comp.ru/lampy-svetodiodnye/svetodiodnye/svetodiodnie-lampi-e40/479691.html</t>
  </si>
  <si>
    <t xml:space="preserve">https://www.etm.ru/cat/nn/2199025?ysclid=lswvk6gimz155193231&amp;city=77</t>
  </si>
  <si>
    <t xml:space="preserve">https://rs24.ru/product/1777991</t>
  </si>
  <si>
    <t xml:space="preserve">https://leroymerlin.ru/product/lampa-svetodiodnaya-iek-lle-hp-50-230-65-e40-e40-230-v-50-vt-dekorativnye-forma-matovaya-4500-lm-holodnyy-belyy-svet-90786261/?ysclid=lswvm01p46402639010&amp;utm_referrer=https%3A%2F%2Fya.ru%2F&amp;fromRegion=3752</t>
  </si>
  <si>
    <t xml:space="preserve">Светодиодная лампа Ergolux LED-A60-12W-E27-6K</t>
  </si>
  <si>
    <t xml:space="preserve">https://rs24.ru/product/1713543</t>
  </si>
  <si>
    <t xml:space="preserve">https://www.chipdip.ru/product0/8569087058</t>
  </si>
  <si>
    <t xml:space="preserve">https://www.vseinstrumenti.ru/product/elektricheskaya-svetodiodnaya-lampa-ergolux-led-a60-12w-e27-6k-lon-12vt-e27-6500k-172-265v-12880-983303/</t>
  </si>
  <si>
    <t xml:space="preserve">https://www.vseinstrumenti.ru/product/elektricheskaya-svetodiodnaya-lampa-ergolux-led-a60-12w-e27-6k-lon-12vt-e27-6500k-172-265v-12880-983303/?ysclid=lswvoqneue119638352</t>
  </si>
  <si>
    <t xml:space="preserve">https://leroymerlin.ru/product/svetodiodnaya-lampa-ergolux-led-a60-12w-e27-6k-12880-91273356/?ysclid=lswvqy0khc656986776&amp;fromRegion=3752</t>
  </si>
  <si>
    <t xml:space="preserve">https://www.chipdip.ru/product0/8569087058?ysclid=lswvrtrhd2955357181</t>
  </si>
  <si>
    <t xml:space="preserve">Светодиодная панель универсальная Армстронг, 36Вт, 3300Лм, 6500К, 595х595х19мм</t>
  </si>
  <si>
    <t xml:space="preserve">https://apeyronled.ru/product/o42_002/</t>
  </si>
  <si>
    <t xml:space="preserve">https://www.chipdip.ru/product0/8009681254</t>
  </si>
  <si>
    <t xml:space="preserve">https://www.vseinstrumenti.ru/product/universalnaya-svetodiodnaya-panel-ogm-armstrong-36vt-3300lm-6500k-595h595h19mm-o42-002-2087080/#characteristics</t>
  </si>
  <si>
    <t xml:space="preserve">https://apeyronled.ru/product/o42_002/?ysclid=lsww06my2k794265969</t>
  </si>
  <si>
    <t xml:space="preserve">https://www.chipdip.ru/product0/8009681254?ysclid=lsww00upo380772815</t>
  </si>
  <si>
    <t xml:space="preserve">https://www.vseinstrumenti.ru/product/universalnaya-svetodiodnaya-panel-ogm-armstrong-36vt-3300lm-6500k-595h595h19mm-o42-002-2087080/?ysclid=lswvz418i4737617084</t>
  </si>
  <si>
    <t xml:space="preserve">Пакеты для мусора ПНД 30 л 50*60 см 9 мкм</t>
  </si>
  <si>
    <t xml:space="preserve">https://tyumenpak.ru/catalog/musornye-meshki/40003/</t>
  </si>
  <si>
    <t xml:space="preserve">https://shop.centrpak.com/product/meshok-d-mus-30l-30sht-rul-chernye-5060sm-pnd-romashka-70/</t>
  </si>
  <si>
    <t xml:space="preserve">https://www.komus.ru/katalog/khozyajstvennye-tovary/meshki-i-emkosti-dlya-musora/meshki-dlya-musora/meshki-dlya-musora-na-30-l-ufapak-chernye-pnd-9-mkm-v-rulone-30-sht-50kh60-sm-/p/1316092/?utm_referrer=https%3A%2F%2Fyandex.ru%2Fsearch%2F%3Ftext%3D%25D0%259F%25D0%25B0%25D0%25BA%25D0%25B5%25D1%2582%25D1%258B%2B%25D0%25B4%25D0%25BB%25D1%258F%2B%25D0%25BC%25D1%2583%25D1%2581%25D0%25BE%25D1%2580%25D0%25B0%2B%25D0%259F%25D0%259D%25D0%2594%2B30%2B%25D0%25BB%2B50*60%2B%25D1%2581%25D0%25BC%2B9%2B%25D0%25BC%25D0%25BA%25D0%25BC%26clid%3D2714389%26win%3D619%26lr%3D11064</t>
  </si>
  <si>
    <t xml:space="preserve">https://market.yandex.ru/product--meshki-dlia-musora-30l-9-mkm-pnd-30-sht-rul-50kh60-sm-5-rulonov-v-nabore-23-1050/1829229165?sku=101982348957&amp;do-waremd5=bF4genHEy2Eu0zRZWdkr-g&amp;uniqueId=56260568</t>
  </si>
  <si>
    <t xml:space="preserve">https://www.ozon.ru/product/meshki-dlya-musora-30l-9-mkm-pnd-30-sht-rul-50h60-sm-5-rulonov-v-nabore-23-1050-871688396/#section-description--offset-140</t>
  </si>
  <si>
    <t xml:space="preserve">Синтетическое жидкое моющее средство ТМС-31</t>
  </si>
  <si>
    <t xml:space="preserve">https://www.mercoil.ru/catalog/moyushchie-sredstva/tekhnicheskoe-moyushchee-sredstvo-tms-31/</t>
  </si>
  <si>
    <t xml:space="preserve">https://www.aquateka.ru/?cat=products&amp;prod=tehnicheskoe-moyushee-sredstvo-tms-31-30-kg-660030</t>
  </si>
  <si>
    <t xml:space="preserve">http://www.antchemistry.ru/catalog_price.php?p=1402</t>
  </si>
  <si>
    <t xml:space="preserve">https://www.mercoil.ru/catalog/moyushchie-sredstva/tekhnicheskoe-moyushchee-sredstvo-tms-31/?ysclid=lrzx697zaw336852023</t>
  </si>
  <si>
    <t xml:space="preserve">https://lenreactiv.ru/shop/himicheskaya/tehnicheskaya_himiya/995145/?ysclid=lrzx5kouwr661883832</t>
  </si>
  <si>
    <t xml:space="preserve">https://www.aquateka.ru/?cat=products&amp;prod=tehnicheskoe-moyushee-sredstvo-tms-31-30-kg-660030&amp;ysclid=lrzwtidfa430072110</t>
  </si>
  <si>
    <t xml:space="preserve">Гибкая подводка из нержавеющей стали 1/2 дюйма, GF15/500ПР</t>
  </si>
  <si>
    <t xml:space="preserve">https://gofraflex.ru/katalog/gibkaya-podvodka-iz-nerzhaveyushchej-stali/1-2-дюйма-gf15пр/гибкая-подводка-из-нержавеющей-стали-1-2-дюйма,-gf15-500пр-gofra.html</t>
  </si>
  <si>
    <t xml:space="preserve">https://santreyd.ru/product/gibkaya-podvodka-iz-nerzhaveyushchey-stali-1-2-dyuyma-gf15-500pr-flexible-hose-rossiya/</t>
  </si>
  <si>
    <t xml:space="preserve">https://aqua-flex.ru/catalog/gibkie-podvodki-iz-nerzhaveyushhej-stali/podvodki-gajka-gajkagajka-shtuczer/gibkaya-podvodka-12-dyujma-nerzhaveyushhaya-stal-500-mm.html</t>
  </si>
  <si>
    <t xml:space="preserve">https://ape-yar.ru/vodosnabzhenie/septiki-i-baki/baki-dlya-vody/podvodka-gibkaya-gf-15-500-g-g.html?ysclid=ls016fjgc8934410255</t>
  </si>
  <si>
    <t xml:space="preserve">http://viptermo.ru/product_4276.html</t>
  </si>
  <si>
    <t xml:space="preserve">https://gofraflex.ru/katalog/gibkaya-podvodka-iz-nerzhaveyushchej-stali/1-2-%D0%B4%D1%8E%D0%B9%D0%BC%D0%B0/%D0%B3%D0%B8%D0%B1%D0%BA%D0%B0%D1%8F-%D0%BF%D0%BE%D0%B4%D0%B2%D0%BE%D0%B4%D0%BA%D0%B0-%D0%B8%D0%B7-%D0%BD%D0%B5%D1%80%D0%B6%D0%B0%D0%B2%D0%B5%D1%8E%D1%89%D0%B5%D0%B9-%D1%81%D1%82%D0%B0%D0%BB%D0%B8-1-2-%D0%B4%D1%8E%D0%B9%D0%BC%D0%B0-%D0%B3%D0%B0%D0%B9%D0%BA%D0%B0-%D0%B3%D0%B0%D0%B9%D0%BA%D0%B0-gofra.html?ysclid=ls00gpbwk1605476658</t>
  </si>
  <si>
    <t xml:space="preserve">Замок навесной ЧАЗ-ВС2А гост 5089-2011</t>
  </si>
  <si>
    <t xml:space="preserve">ИТОГО материалы стоимость за весь объём, руб. без НДС</t>
  </si>
  <si>
    <t xml:space="preserve">ОКПД 2: 23.61.12.150 Поставка дорожных плит для нужд Кубанского филиала </t>
  </si>
  <si>
    <t xml:space="preserve">Место поставки: Кубанский филиал АО «Гидроремонт-ВКК» в г. Невинномысск,  ИНН 6345012488, КПП 263143001, адрес: 357007, Ставропольский край, Кочубеевский р-н, с. Кочубеевское, АВТОДОРОГА «КАВКАЗ» 246КМ+1200М(СПРАВА) </t>
  </si>
  <si>
    <t xml:space="preserve">Примечание</t>
  </si>
  <si>
    <t xml:space="preserve">Дорожная плита ПДН-14 6000х2000х140</t>
  </si>
  <si>
    <t xml:space="preserve">Стоимость доставки необходимо включить в стоимость материалов.</t>
  </si>
  <si>
    <t xml:space="preserve">Сметная цена за единицу, руб. без НДС
</t>
  </si>
  <si>
    <t xml:space="preserve">Cплит-система LG S09EQR белый. Или аналог, по согласованию с заказчиком.</t>
  </si>
  <si>
    <t xml:space="preserve">ООО Ситилинк Счет №J9746382 от 26.02.2025г</t>
  </si>
  <si>
    <t xml:space="preserve">ИП Несмашный КП № 69 от 13.03.2025</t>
  </si>
  <si>
    <t xml:space="preserve">ООО «ПромСервис» Счет № 138 от 13.03.2025</t>
  </si>
  <si>
    <r>
      <rPr>
        <sz val="11.5"/>
        <color rgb="FF000000"/>
        <rFont val="Arial"/>
        <family val="2"/>
        <charset val="1"/>
      </rPr>
      <t xml:space="preserve">Dioteck DS-N 80 45 ВТ IP 65 Пылевлагозащищенный светодиодный светильник </t>
    </r>
    <r>
      <rPr>
        <sz val="11.5"/>
        <color rgb="FFFF0000"/>
        <rFont val="Arial"/>
        <family val="2"/>
        <charset val="1"/>
      </rPr>
      <t xml:space="preserve">(Замена на Светодиодный светильник ПромЛед Айсберг 36 1250мм Эко CRI70 5000К Прозрачный PL-1302.1250.0036-50.111111 PROMLED)</t>
    </r>
  </si>
  <si>
    <t xml:space="preserve">https://terra-led.ru/promled/aysberg-36-1250mm-5000k-prozrachnyy/</t>
  </si>
  <si>
    <t xml:space="preserve">Аналог                                ООО Промсвет КП №1821 от 26.02.2025</t>
  </si>
  <si>
    <t xml:space="preserve">Аналог                                 ООО Невский свет КП №133 от 26.02.2025</t>
  </si>
  <si>
    <t xml:space="preserve">Встраиваемая светодиодная панель FERON Армстронг AL2113 36W 6500K белый, драйвер в комплекте</t>
  </si>
  <si>
    <t xml:space="preserve">https://www.vseinstrumenti.ru/product/vstraivaemyj-svetodiodnyj-svetilnik-feron-36w-6500k-belyj-al2113-28851-791585/?utm_source=yandex&amp;utm_medium=cpc&amp;utm_campaign=dsa_na_na_platezh90-100-all-b_rf_tovary-iz-matricy-AX&amp;utm_content=13070498820&amp;utm_term=ST%3Asearch%7CS%3Anone%7CAP%3Ano%7CPT%3Apremium%7CP%3A4%7CDT%3Adesktop%7CRI%3A11064%7CCI%3A80601160%7CGI%3A5076793239%7CPI%3A52845035173%7CAI%3A13070498820%7CRT%3A52845035173%7CKW%3A---autotargeting%7CRN%3AНевинномысск&amp;yclid=17732191228915875839</t>
  </si>
  <si>
    <t xml:space="preserve">ООО Промсвет КП №1821 от 26.02.2025</t>
  </si>
  <si>
    <t xml:space="preserve">ООО Невский свет КП №133 от 26.02.2025</t>
  </si>
  <si>
    <t xml:space="preserve">Выключатели автоматические: «IEK» ВА47-29 1Р 10А, характеристика С</t>
  </si>
  <si>
    <t xml:space="preserve">АО ТД ЭТМ Счет №323/214373 от 26.02.2025</t>
  </si>
  <si>
    <t xml:space="preserve">Выключатели автоматические: «IEK» ВА47-29 1Р 16А, характеристика С</t>
  </si>
  <si>
    <t xml:space="preserve">Гидроциклонный фильтр 2', до 30 м3/час NWT-YR-C063</t>
  </si>
  <si>
    <t xml:space="preserve">https://td-rodionov.ru/catalog/sistemy_vodopodgotovki_i_vodoochistki_/filtr_pervichnoy_ochistki_vody/gidrotsiklonnyy_filtr/filtr_gidrotsiklonnyy_3_flantsy_v_komplekte.html</t>
  </si>
  <si>
    <t xml:space="preserve">https://n-wt.ru/page61400073.html</t>
  </si>
  <si>
    <t xml:space="preserve">https://www.nowa-tech.ru/gidrocziklonnyie-filtryi-dlya-vodyi/?ysclid=m7m4u5k28b327771040</t>
  </si>
  <si>
    <t xml:space="preserve">Конвектор Ballu Enzo BEC/EZMR-2000 или аналог</t>
  </si>
  <si>
    <t xml:space="preserve">ООО «Промсервис» № 140 от 17.03.2025</t>
  </si>
  <si>
    <t xml:space="preserve">ООО «Энергонефтегаз-комплекс» КП № 100 от 13.03.2025</t>
  </si>
  <si>
    <t xml:space="preserve">Кондиционер мобильный Ballu Smart Pro BPAC-18 CE</t>
  </si>
  <si>
    <t xml:space="preserve">https://www.dns-shop.ru/product/opinion/7eb73ced476cc824/kondicioner-mobilnyj-ballu-bpac-18-ce_20y-belyj/?utm_medium=organic&amp;utm_source=yandex&amp;utm_referrer=https%3A%2F%2Fyandex.ru%2Fsearch%2F%3Ftext%3D%25D0%259A%25D0%25BE%25D0%25BD%25D0%25B4%25D0%25B8%25D1%2586%25D0%25B8%25D0%25BE%25D0%25BD%25D0%25B5%25D1%2580%2B%25D0%25BC%25D0%25BE%25D0%25B1%25D0%25B8%25D0%25BB%25D1%258C%25D0%25BD%25D1%258B%25D0%25B9%25C2%25A0Ballu%2BSmart%2BPro%2BBPAC-18%2BCE%26lr%3D11064%26clid%3D2714389%26win%3D648</t>
  </si>
  <si>
    <t xml:space="preserve">Корпус ЩРН-П-12 Krepta 3 IP41 навесной пластик. бел. IEK MKP12-N-12-40-10</t>
  </si>
  <si>
    <t xml:space="preserve">Насосная станция Tesk PMC12-40, 400-2200 W, 1x220 V, 50/50 мм 33PMC12400122</t>
  </si>
  <si>
    <t xml:space="preserve">Светильник НПО 22х100-230 'Таблетка' молочное стекло</t>
  </si>
  <si>
    <r>
      <rPr>
        <sz val="11.5"/>
        <color rgb="FF000000"/>
        <rFont val="Arial"/>
        <family val="2"/>
        <charset val="1"/>
      </rPr>
      <t xml:space="preserve">Светодиодная панель 36Вт 6500K 3600Лм опал 595x595мм IP20. Светильник потолочный армстронг универсальный LED LUMA холодный белый; EKF (ДВО) ДУО-4104-L </t>
    </r>
    <r>
      <rPr>
        <sz val="11.5"/>
        <color rgb="FFFF0000"/>
        <rFont val="Arial"/>
        <family val="2"/>
        <charset val="1"/>
      </rPr>
      <t xml:space="preserve">(замена на Панель светодиодная универсальная ДВО-02 3665-ПРИЗМА 36Вт 3800Лм 6500К 595х595мм NEOX)</t>
    </r>
  </si>
  <si>
    <r>
      <rPr>
        <sz val="11.5"/>
        <color rgb="FF000000"/>
        <rFont val="Arial"/>
        <family val="2"/>
        <charset val="1"/>
      </rPr>
      <t xml:space="preserve">Светодиодный светильник потолочный АЭК-ДПО06-045-001 (IP20) (</t>
    </r>
    <r>
      <rPr>
        <sz val="11.5"/>
        <color rgb="FFFF0000"/>
        <rFont val="Arial"/>
        <family val="2"/>
        <charset val="1"/>
      </rPr>
      <t xml:space="preserve">Замена на Светодиодный светильник ПромЛед Линия 40 IP30 CRI80 5000К Призма 1195х180х50мм)</t>
    </r>
  </si>
  <si>
    <t xml:space="preserve">https://vincci.ru/catalog/nakladnye/lineynye-ip20-ip40/svetodiodnyy-svetilnik-promled-liniya-30-cri90-1195-180mm/</t>
  </si>
  <si>
    <t xml:space="preserve">Сплит-система Ballu BSG-09HN1_22Y Olympio Grace</t>
  </si>
  <si>
    <t xml:space="preserve">Устройства защитного отключения: «IEK» УЗО ВД1-63 2Р 16-40А, ток утечки 30 мА</t>
  </si>
  <si>
    <t xml:space="preserve">Устройство защитного отключения: УЗО-Д-40</t>
  </si>
  <si>
    <r>
      <rPr>
        <sz val="11.5"/>
        <color rgb="FF000000"/>
        <rFont val="Arial"/>
        <family val="2"/>
        <charset val="1"/>
      </rPr>
      <t xml:space="preserve">Щит (шкаф) внутреннего монтажа CU14V (замена U41) ABB 48 модулей 2CPX052607R9999   </t>
    </r>
    <r>
      <rPr>
        <sz val="11.5"/>
        <color rgb="FFFF0000"/>
        <rFont val="Arial"/>
        <family val="2"/>
        <charset val="1"/>
      </rPr>
      <t xml:space="preserve">(АВВ ушёл из России. Вариант замены: TITAN 5 Корпус мет. ЩРв-48 (1х48) 755х365х130 IP31 бел IEK TI5-50-V-048-31)</t>
    </r>
  </si>
  <si>
    <t xml:space="preserve">https://abb-club.ru/abb-shchity/abb-cu/shchit-v-nishu-abb-cu14v-48/</t>
  </si>
  <si>
    <t xml:space="preserve">ООО «ПромСервис» Счет № 138 от 13.05.2025</t>
  </si>
  <si>
    <t xml:space="preserve">Выключатель автоматический 1P C 25А 4.5кА ВА47-29 KARAT IEK MVA20-1-025-C</t>
  </si>
  <si>
    <t xml:space="preserve">https://ellcon.ru/shop/goods/vyiklyuchatel_avtomaticheskiy_modulnyiy_1p_B_25a_45ka_va47_29_KARAT_IEK_MVA20_1_025_B-29747</t>
  </si>
  <si>
    <t xml:space="preserve">https://dats-system.ru/shop/goods/vyiklyuchatel_avtomaticheskiy_modulnyiy_1p_C_25a_45ka_va47_29_KARAT_IEK_MVA20_1_025_C-32695</t>
  </si>
  <si>
    <t xml:space="preserve">https://www.tinko.ru/catalog/product/245148/</t>
  </si>
  <si>
    <t xml:space="preserve">Комментарий ГР-ВКК</t>
  </si>
  <si>
    <t xml:space="preserve">Принято, стоимость учтена, согласно расчета ПЦ по РЕМ2024, с п.37 объединено</t>
  </si>
  <si>
    <t xml:space="preserve">Стоимость Грунт-эмаль "Корроед" серый учесть аналогично расчета ПЦ по РЕМ (686,78 руб без НДС с ТЗР за кг.), обоснование придоставить аналогичное обоснаванию в РЕМ </t>
  </si>
  <si>
    <t xml:space="preserve">принято</t>
  </si>
  <si>
    <t xml:space="preserve">откорректировано</t>
  </si>
  <si>
    <t xml:space="preserve">предлагаю рассмотреть вариант принятия по ФССЦ. Стоимость будет составлять 450,93 руб.</t>
  </si>
  <si>
    <t xml:space="preserve">предлагаю рассмотреть вариант принятия по ФССЦ. Стоимость будет составлять 1007,28 руб.</t>
  </si>
  <si>
    <t xml:space="preserve">Кран шаровый  водоразборный Ø 22 латунь не существует, уточнить характеристики и материал корпуса</t>
  </si>
  <si>
    <t xml:space="preserve">объединено</t>
  </si>
  <si>
    <t xml:space="preserve">ИЦИ-1 не соответствует техническим характеристикамисп ЭКО 0-1 Мпа</t>
  </si>
  <si>
    <t xml:space="preserve">Все ИЦИ не соответствуют техническим характеристика, а именно номинальному давлению 0-40 кгс/см2                    (0-4 МПА)</t>
  </si>
  <si>
    <t xml:space="preserve">Пускатель КМИ 11811</t>
  </si>
  <si>
    <t xml:space="preserve">Ремень приводной генератора 2614В655 Perkins 197  9289 Pje 51</t>
  </si>
  <si>
    <t xml:space="preserve">Указать технические характеристики, размеры, тип, марку, артикул</t>
  </si>
  <si>
    <t xml:space="preserve">Указать цвет затирки. В ИЦИ-1 и ИЦИ-3 указан цвет белый, в ИЦИ-2 цвет, бирюза. Выполнить мониторинг МТР белого цвета. Указать белый цвет</t>
  </si>
  <si>
    <t xml:space="preserve">На основании откорректированного перечня, выполнить мониторинг цвет серый RAL 7040</t>
  </si>
  <si>
    <t xml:space="preserve">Указать полные характеристики, тип, марку, артикул, размеры и т.д.</t>
  </si>
  <si>
    <t xml:space="preserve"> по фссц (Стеклопакеты двухслойные из неполированного стекла толщиной 4 мм) стоимость 1 683,44 руб за м2</t>
  </si>
  <si>
    <t xml:space="preserve">Напольная плитка Керамогранит Соль-Перец Имбирь SP901800N 30х30 (Kerama Marazzi) ГОСТ 6787-2001</t>
  </si>
  <si>
    <t xml:space="preserve">https://www.keram-market.ru/rossiyskaya-plitka/kerama-marazzi/spetsii/imbir-bezh-sp901800n</t>
  </si>
  <si>
    <t xml:space="preserve">https://www.bestceramic.ru/goods/imbir-sp901800n</t>
  </si>
  <si>
    <t xml:space="preserve">https://spb.keram-market.ru/rossiyskaya-plitka/kerama-marazzi/spetsii/imbir-bezh-sp901800n</t>
  </si>
  <si>
    <t xml:space="preserve">Кол-во</t>
  </si>
  <si>
    <t xml:space="preserve">Цена без НДС, за ед.</t>
  </si>
  <si>
    <t xml:space="preserve">Сумма без НДС, руб.</t>
  </si>
  <si>
    <t xml:space="preserve">Силикагель КСКГ, ГОСТ 3956-76</t>
  </si>
  <si>
    <t xml:space="preserve">КГ</t>
  </si>
  <si>
    <t xml:space="preserve">Силикагель-индикатор</t>
  </si>
  <si>
    <t xml:space="preserve">Бензин авиационный Б-70</t>
  </si>
  <si>
    <t xml:space="preserve">т</t>
  </si>
  <si>
    <t xml:space="preserve">Смазка контактная графитовая</t>
  </si>
  <si>
    <t xml:space="preserve">Смазка Литол-24</t>
  </si>
  <si>
    <t xml:space="preserve">Лента поливинилхлоридная техническая с липким слоем, толщина 0,4 мм</t>
  </si>
  <si>
    <t xml:space="preserve">Пластины резиновые технические: МБС-С</t>
  </si>
  <si>
    <t xml:space="preserve">Ветошь</t>
  </si>
  <si>
    <t xml:space="preserve">Салфетки хлопчатобумажные</t>
  </si>
  <si>
    <t xml:space="preserve">Герметик силиконовый: Isosil S206</t>
  </si>
</sst>
</file>

<file path=xl/styles.xml><?xml version="1.0" encoding="utf-8"?>
<styleSheet xmlns="http://schemas.openxmlformats.org/spreadsheetml/2006/main">
  <numFmts count="7">
    <numFmt numFmtId="164" formatCode="General"/>
    <numFmt numFmtId="165" formatCode="#,##0.00"/>
    <numFmt numFmtId="166" formatCode="#,##0.00&quot; ₽&quot;"/>
    <numFmt numFmtId="167" formatCode="General"/>
    <numFmt numFmtId="168" formatCode="\ * #,##0.00&quot;    &quot;;\-* #,##0.00&quot;    &quot;;\ * \-#&quot;    &quot;;\ @\ "/>
    <numFmt numFmtId="169" formatCode="\ * #,##0&quot;    &quot;;\-* #,##0&quot;    &quot;;\ * \-#&quot;    &quot;;\ @\ "/>
    <numFmt numFmtId="170" formatCode="0.00"/>
  </numFmts>
  <fonts count="51">
    <font>
      <sz val="11"/>
      <color rgb="FF000000"/>
      <name val="Calibri"/>
      <family val="2"/>
      <charset val="1"/>
    </font>
    <font>
      <sz val="10"/>
      <name val="Arial"/>
      <family val="0"/>
    </font>
    <font>
      <sz val="10"/>
      <name val="Arial"/>
      <family val="0"/>
    </font>
    <font>
      <sz val="10"/>
      <name val="Arial"/>
      <family val="0"/>
    </font>
    <font>
      <sz val="10"/>
      <name val="Times New Roman"/>
      <family val="1"/>
      <charset val="1"/>
    </font>
    <font>
      <sz val="10"/>
      <name val="Arial Cyr"/>
      <family val="0"/>
      <charset val="1"/>
    </font>
    <font>
      <sz val="10"/>
      <color rgb="FF000000"/>
      <name val="Calibri"/>
      <family val="2"/>
      <charset val="1"/>
    </font>
    <font>
      <sz val="11"/>
      <color rgb="FF000000"/>
      <name val="Times New Roman"/>
      <family val="1"/>
      <charset val="1"/>
    </font>
    <font>
      <i val="true"/>
      <sz val="20"/>
      <color rgb="FFFF0000"/>
      <name val="Calibri"/>
      <family val="2"/>
      <charset val="1"/>
    </font>
    <font>
      <sz val="11"/>
      <color rgb="FFFF0000"/>
      <name val="Calibri"/>
      <family val="2"/>
      <charset val="1"/>
    </font>
    <font>
      <b val="true"/>
      <sz val="14"/>
      <name val="Arial"/>
      <family val="2"/>
      <charset val="1"/>
    </font>
    <font>
      <sz val="11"/>
      <name val="Calibri"/>
      <family val="2"/>
      <charset val="1"/>
    </font>
    <font>
      <b val="true"/>
      <sz val="12"/>
      <name val="Arial"/>
      <family val="2"/>
      <charset val="1"/>
    </font>
    <font>
      <b val="true"/>
      <sz val="16"/>
      <name val="Arial"/>
      <family val="2"/>
      <charset val="1"/>
    </font>
    <font>
      <b val="true"/>
      <sz val="16"/>
      <color rgb="FF00B050"/>
      <name val="Arial"/>
      <family val="2"/>
      <charset val="1"/>
    </font>
    <font>
      <sz val="11"/>
      <name val="Arial"/>
      <family val="2"/>
      <charset val="1"/>
    </font>
    <font>
      <b val="true"/>
      <sz val="16"/>
      <color rgb="FFFF0000"/>
      <name val="Arial"/>
      <family val="2"/>
      <charset val="1"/>
    </font>
    <font>
      <b val="true"/>
      <sz val="12"/>
      <color rgb="FF000000"/>
      <name val="Arial"/>
      <family val="2"/>
      <charset val="1"/>
    </font>
    <font>
      <sz val="10"/>
      <name val="Arial"/>
      <family val="2"/>
      <charset val="1"/>
    </font>
    <font>
      <sz val="12"/>
      <color rgb="FF000000"/>
      <name val="Arial"/>
      <family val="2"/>
      <charset val="1"/>
    </font>
    <font>
      <sz val="11"/>
      <color rgb="FF000000"/>
      <name val="Arial"/>
      <family val="2"/>
      <charset val="1"/>
    </font>
    <font>
      <sz val="10"/>
      <color rgb="FF000000"/>
      <name val="Arial"/>
      <family val="2"/>
      <charset val="1"/>
    </font>
    <font>
      <u val="single"/>
      <sz val="11"/>
      <color rgb="FF0563C1"/>
      <name val="Calibri"/>
      <family val="2"/>
      <charset val="1"/>
    </font>
    <font>
      <sz val="12"/>
      <name val="Arial"/>
      <family val="2"/>
      <charset val="1"/>
    </font>
    <font>
      <sz val="10"/>
      <color rgb="FF0000FF"/>
      <name val="Arial"/>
      <family val="2"/>
      <charset val="1"/>
    </font>
    <font>
      <b val="true"/>
      <sz val="10"/>
      <color rgb="FF0000FF"/>
      <name val="Arial"/>
      <family val="2"/>
      <charset val="1"/>
    </font>
    <font>
      <sz val="12"/>
      <color rgb="FF0000FF"/>
      <name val="Calibri"/>
      <family val="2"/>
      <charset val="1"/>
    </font>
    <font>
      <sz val="11"/>
      <color rgb="FF0000FF"/>
      <name val="Calibri"/>
      <family val="2"/>
      <charset val="1"/>
    </font>
    <font>
      <b val="true"/>
      <sz val="11"/>
      <color rgb="FF000000"/>
      <name val="Calibri"/>
      <family val="2"/>
      <charset val="1"/>
    </font>
    <font>
      <sz val="9"/>
      <color rgb="FF000000"/>
      <name val="Tahoma"/>
      <family val="2"/>
      <charset val="1"/>
    </font>
    <font>
      <b val="true"/>
      <sz val="10"/>
      <name val="Times New Roman"/>
      <family val="1"/>
      <charset val="1"/>
    </font>
    <font>
      <sz val="11"/>
      <name val="Times New Roman"/>
      <family val="1"/>
      <charset val="1"/>
    </font>
    <font>
      <sz val="12"/>
      <name val="Times New Roman"/>
      <family val="1"/>
      <charset val="1"/>
    </font>
    <font>
      <b val="true"/>
      <u val="single"/>
      <sz val="11"/>
      <name val="Calibri"/>
      <family val="2"/>
      <charset val="1"/>
    </font>
    <font>
      <sz val="11"/>
      <color rgb="FFFF0000"/>
      <name val="Arial"/>
      <family val="2"/>
      <charset val="1"/>
    </font>
    <font>
      <b val="true"/>
      <sz val="14"/>
      <color rgb="FF000000"/>
      <name val="Times New Roman"/>
      <family val="1"/>
      <charset val="1"/>
    </font>
    <font>
      <b val="true"/>
      <sz val="13"/>
      <name val="Arial"/>
      <family val="2"/>
      <charset val="1"/>
    </font>
    <font>
      <sz val="13"/>
      <name val="Arial"/>
      <family val="2"/>
      <charset val="1"/>
    </font>
    <font>
      <sz val="12"/>
      <color rgb="FF000000"/>
      <name val="Times New Roman"/>
      <family val="1"/>
      <charset val="1"/>
    </font>
    <font>
      <b val="true"/>
      <u val="single"/>
      <sz val="14"/>
      <color rgb="FFFF0000"/>
      <name val="Arial"/>
      <family val="2"/>
      <charset val="1"/>
    </font>
    <font>
      <b val="true"/>
      <sz val="13"/>
      <color rgb="FF000000"/>
      <name val="Arial"/>
      <family val="2"/>
      <charset val="1"/>
    </font>
    <font>
      <sz val="11"/>
      <color rgb="FF0563C1"/>
      <name val="Calibri"/>
      <family val="2"/>
      <charset val="1"/>
    </font>
    <font>
      <sz val="11.5"/>
      <color rgb="FF000000"/>
      <name val="Arial"/>
      <family val="2"/>
      <charset val="1"/>
    </font>
    <font>
      <sz val="11.5"/>
      <color rgb="FFFF0000"/>
      <name val="Arial"/>
      <family val="2"/>
      <charset val="1"/>
    </font>
    <font>
      <sz val="10"/>
      <color rgb="FFFF0000"/>
      <name val="Arial"/>
      <family val="2"/>
      <charset val="1"/>
    </font>
    <font>
      <sz val="11.5"/>
      <name val="Arial"/>
      <family val="2"/>
      <charset val="1"/>
    </font>
    <font>
      <u val="single"/>
      <sz val="11"/>
      <color rgb="FF000000"/>
      <name val="Calibri"/>
      <family val="2"/>
      <charset val="1"/>
    </font>
    <font>
      <sz val="10"/>
      <color rgb="FFC9211E"/>
      <name val="Arial"/>
      <family val="2"/>
      <charset val="1"/>
    </font>
    <font>
      <sz val="12"/>
      <name val="Calibri"/>
      <family val="2"/>
      <charset val="1"/>
    </font>
    <font>
      <sz val="12"/>
      <color rgb="FFFF0000"/>
      <name val="Calibri"/>
      <family val="2"/>
      <charset val="1"/>
    </font>
    <font>
      <b val="true"/>
      <sz val="14"/>
      <color rgb="FF000000"/>
      <name val="Calibri"/>
      <family val="2"/>
      <charset val="1"/>
    </font>
  </fonts>
  <fills count="22">
    <fill>
      <patternFill patternType="none"/>
    </fill>
    <fill>
      <patternFill patternType="gray125"/>
    </fill>
    <fill>
      <patternFill patternType="solid">
        <fgColor rgb="FFFFFFFF"/>
        <bgColor rgb="FFF2F2F2"/>
      </patternFill>
    </fill>
    <fill>
      <patternFill patternType="solid">
        <fgColor rgb="FFC5E0B4"/>
        <bgColor rgb="FFE2F0D9"/>
      </patternFill>
    </fill>
    <fill>
      <patternFill patternType="solid">
        <fgColor rgb="FFF2F2F2"/>
        <bgColor rgb="FFE7E6E6"/>
      </patternFill>
    </fill>
    <fill>
      <patternFill patternType="solid">
        <fgColor rgb="FF9DC3E6"/>
        <bgColor rgb="FFCCCCFF"/>
      </patternFill>
    </fill>
    <fill>
      <patternFill patternType="solid">
        <fgColor rgb="FFE7E6E6"/>
        <bgColor rgb="FFE2F0D9"/>
      </patternFill>
    </fill>
    <fill>
      <patternFill patternType="solid">
        <fgColor rgb="FFFFFFCC"/>
        <bgColor rgb="FFFFFFA6"/>
      </patternFill>
    </fill>
    <fill>
      <patternFill patternType="solid">
        <fgColor rgb="FFCCFFCC"/>
        <bgColor rgb="FFCCFFFF"/>
      </patternFill>
    </fill>
    <fill>
      <patternFill patternType="solid">
        <fgColor rgb="FFFFFF99"/>
        <bgColor rgb="FFFFFFA6"/>
      </patternFill>
    </fill>
    <fill>
      <patternFill patternType="solid">
        <fgColor rgb="FF99FFCC"/>
        <bgColor rgb="FF99FF99"/>
      </patternFill>
    </fill>
    <fill>
      <patternFill patternType="solid">
        <fgColor rgb="FFCCECFF"/>
        <bgColor rgb="FFCCFFFF"/>
      </patternFill>
    </fill>
    <fill>
      <patternFill patternType="solid">
        <fgColor rgb="FFCCCCFF"/>
        <bgColor rgb="FFCCECFF"/>
      </patternFill>
    </fill>
    <fill>
      <patternFill patternType="solid">
        <fgColor rgb="FFCCFFFF"/>
        <bgColor rgb="FFCCECFF"/>
      </patternFill>
    </fill>
    <fill>
      <patternFill patternType="solid">
        <fgColor rgb="FFFF7C80"/>
        <bgColor rgb="FFFF6600"/>
      </patternFill>
    </fill>
    <fill>
      <patternFill patternType="solid">
        <fgColor rgb="FFE2F0D9"/>
        <bgColor rgb="FFE7E6E6"/>
      </patternFill>
    </fill>
    <fill>
      <patternFill patternType="solid">
        <fgColor rgb="FFFF0000"/>
        <bgColor rgb="FFC9211E"/>
      </patternFill>
    </fill>
    <fill>
      <patternFill patternType="solid">
        <fgColor rgb="FFFFCCCC"/>
        <bgColor rgb="FFFFC7CE"/>
      </patternFill>
    </fill>
    <fill>
      <patternFill patternType="solid">
        <fgColor rgb="FFCCFF99"/>
        <bgColor rgb="FFCCFFCC"/>
      </patternFill>
    </fill>
    <fill>
      <patternFill patternType="solid">
        <fgColor rgb="FFFFFFA6"/>
        <bgColor rgb="FFFFFF99"/>
      </patternFill>
    </fill>
    <fill>
      <patternFill patternType="solid">
        <fgColor rgb="FFFFFF00"/>
        <bgColor rgb="FFFFC000"/>
      </patternFill>
    </fill>
    <fill>
      <patternFill patternType="solid">
        <fgColor rgb="FF92D050"/>
        <bgColor rgb="FF99FF99"/>
      </patternFill>
    </fill>
  </fills>
  <borders count="29">
    <border diagonalUp="false" diagonalDown="false">
      <left/>
      <right/>
      <top/>
      <bottom/>
      <diagonal/>
    </border>
    <border diagonalUp="false" diagonalDown="false">
      <left style="thin"/>
      <right style="thin"/>
      <top style="thin"/>
      <bottom style="thin"/>
      <diagonal/>
    </border>
    <border diagonalUp="false" diagonalDown="false">
      <left style="medium"/>
      <right style="medium"/>
      <top style="medium"/>
      <bottom/>
      <diagonal/>
    </border>
    <border diagonalUp="false" diagonalDown="false">
      <left style="medium"/>
      <right/>
      <top style="medium"/>
      <bottom/>
      <diagonal/>
    </border>
    <border diagonalUp="false" diagonalDown="false">
      <left style="medium"/>
      <right style="medium"/>
      <top style="medium"/>
      <bottom style="medium"/>
      <diagonal/>
    </border>
    <border diagonalUp="false" diagonalDown="false">
      <left style="medium"/>
      <right/>
      <top style="medium"/>
      <bottom style="medium"/>
      <diagonal/>
    </border>
    <border diagonalUp="false" diagonalDown="false">
      <left/>
      <right style="medium"/>
      <top style="medium"/>
      <bottom style="medium"/>
      <diagonal/>
    </border>
    <border diagonalUp="false" diagonalDown="false">
      <left/>
      <right/>
      <top/>
      <bottom style="thin"/>
      <diagonal/>
    </border>
    <border diagonalUp="false" diagonalDown="false">
      <left style="thin">
        <color rgb="FF222A35"/>
      </left>
      <right style="thin">
        <color rgb="FF222A35"/>
      </right>
      <top style="medium"/>
      <bottom style="thin"/>
      <diagonal/>
    </border>
    <border diagonalUp="false" diagonalDown="false">
      <left style="thin">
        <color rgb="FF222A35"/>
      </left>
      <right style="thin">
        <color rgb="FF222A35"/>
      </right>
      <top style="medium"/>
      <bottom/>
      <diagonal/>
    </border>
    <border diagonalUp="false" diagonalDown="false">
      <left style="thin">
        <color rgb="FF222A35"/>
      </left>
      <right/>
      <top style="medium"/>
      <bottom/>
      <diagonal/>
    </border>
    <border diagonalUp="false" diagonalDown="false">
      <left style="thin">
        <color rgb="FF222A35"/>
      </left>
      <right style="thin"/>
      <top style="medium"/>
      <bottom/>
      <diagonal/>
    </border>
    <border diagonalUp="false" diagonalDown="false">
      <left style="medium"/>
      <right style="thin"/>
      <top/>
      <bottom style="thin"/>
      <diagonal/>
    </border>
    <border diagonalUp="false" diagonalDown="false">
      <left style="thin"/>
      <right/>
      <top style="thin"/>
      <bottom style="thin"/>
      <diagonal/>
    </border>
    <border diagonalUp="false" diagonalDown="false">
      <left style="medium"/>
      <right/>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right style="thin"/>
      <top/>
      <bottom style="thin"/>
      <diagonal/>
    </border>
    <border diagonalUp="false" diagonalDown="false">
      <left/>
      <right style="medium"/>
      <top style="medium"/>
      <bottom/>
      <diagonal/>
    </border>
    <border diagonalUp="false" diagonalDown="false">
      <left style="thin"/>
      <right style="thin"/>
      <top style="thin"/>
      <bottom/>
      <diagonal/>
    </border>
    <border diagonalUp="false" diagonalDown="false">
      <left style="thin"/>
      <right style="thin"/>
      <top/>
      <bottom style="thin"/>
      <diagonal/>
    </border>
    <border diagonalUp="false" diagonalDown="false">
      <left style="medium"/>
      <right style="medium"/>
      <top/>
      <bottom/>
      <diagonal/>
    </border>
    <border diagonalUp="false" diagonalDown="false">
      <left style="medium"/>
      <right/>
      <top/>
      <bottom/>
      <diagonal/>
    </border>
    <border diagonalUp="false" diagonalDown="false">
      <left style="medium"/>
      <right style="thin"/>
      <top/>
      <bottom style="medium"/>
      <diagonal/>
    </border>
    <border diagonalUp="false" diagonalDown="false">
      <left style="medium"/>
      <right style="medium"/>
      <top/>
      <bottom style="thin"/>
      <diagonal/>
    </border>
    <border diagonalUp="false" diagonalDown="false">
      <left style="thin"/>
      <right/>
      <top/>
      <bottom style="thin"/>
      <diagonal/>
    </border>
    <border diagonalUp="false" diagonalDown="false">
      <left/>
      <right style="thin"/>
      <top style="thin"/>
      <bottom/>
      <diagonal/>
    </border>
    <border diagonalUp="false" diagonalDown="false">
      <left style="medium"/>
      <right style="medium"/>
      <top style="thin"/>
      <bottom style="thin"/>
      <diagonal/>
    </border>
    <border diagonalUp="false" diagonalDown="false">
      <left/>
      <right/>
      <top style="medium"/>
      <bottom style="medium"/>
      <diagonal/>
    </border>
  </borders>
  <cellStyleXfs count="5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8"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22" fillId="0" borderId="0" applyFont="true" applyBorder="false" applyAlignment="true" applyProtection="false">
      <alignment horizontal="general" vertical="bottom" textRotation="0" wrapText="false" indent="0" shrinkToFit="false"/>
    </xf>
    <xf numFmtId="164" fontId="4" fillId="0" borderId="1" applyFont="true" applyBorder="true" applyAlignment="true" applyProtection="true">
      <alignment horizontal="center" vertical="bottom" textRotation="0" wrapText="false" indent="0" shrinkToFit="false"/>
      <protection locked="true" hidden="false"/>
    </xf>
    <xf numFmtId="164" fontId="5" fillId="0" borderId="0" applyFont="true" applyBorder="true" applyAlignment="true" applyProtection="true">
      <alignment horizontal="general" vertical="top" textRotation="0" wrapText="false" indent="0" shrinkToFit="false"/>
      <protection locked="true" hidden="false"/>
    </xf>
    <xf numFmtId="164" fontId="4" fillId="0" borderId="1" applyFont="true" applyBorder="true" applyAlignment="true" applyProtection="true">
      <alignment horizontal="center" vertical="bottom" textRotation="0" wrapText="false" indent="0" shrinkToFit="false"/>
      <protection locked="true" hidden="false"/>
    </xf>
    <xf numFmtId="164" fontId="4" fillId="0" borderId="0" applyFont="true" applyBorder="true" applyAlignment="true" applyProtection="true">
      <alignment horizontal="general" vertical="top"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right" vertical="top" textRotation="0" wrapText="tru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top" textRotation="0" wrapText="false" indent="0" shrinkToFit="false"/>
      <protection locked="true" hidden="false"/>
    </xf>
    <xf numFmtId="164" fontId="4" fillId="0" borderId="1" applyFont="true" applyBorder="true" applyAlignment="true" applyProtection="true">
      <alignment horizontal="center" vertical="bottom" textRotation="0" wrapText="tru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1" applyFont="true" applyBorder="true" applyAlignment="true" applyProtection="true">
      <alignment horizontal="center" vertical="bottom" textRotation="0" wrapText="true" indent="0" shrinkToFit="false"/>
      <protection locked="true" hidden="false"/>
    </xf>
    <xf numFmtId="164" fontId="4" fillId="0" borderId="1" applyFont="true" applyBorder="true" applyAlignment="true" applyProtection="true">
      <alignment horizontal="center"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4" fillId="0" borderId="1" applyFont="true" applyBorder="true" applyAlignment="true" applyProtection="true">
      <alignment horizontal="center" vertical="bottom" textRotation="0" wrapText="true" indent="0" shrinkToFit="false"/>
      <protection locked="true" hidden="false"/>
    </xf>
    <xf numFmtId="164" fontId="4" fillId="0" borderId="0" applyFont="true" applyBorder="true" applyAlignment="true" applyProtection="true">
      <alignment horizontal="center" vertical="bottom" textRotation="0" wrapText="false" indent="0" shrinkToFit="false"/>
      <protection locked="true" hidden="false"/>
    </xf>
    <xf numFmtId="164" fontId="4" fillId="0" borderId="0" applyFont="true" applyBorder="true" applyAlignment="true" applyProtection="true">
      <alignment horizontal="left" vertical="top" textRotation="0" wrapText="false" indent="0" shrinkToFit="false"/>
      <protection locked="true" hidden="false"/>
    </xf>
    <xf numFmtId="164" fontId="5" fillId="0" borderId="1" applyFont="true" applyBorder="true" applyAlignment="true" applyProtection="true">
      <alignment horizontal="general" vertical="top" textRotation="0" wrapText="tru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cellStyleXfs>
  <cellXfs count="24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7" fillId="0" borderId="0" xfId="0" applyFont="true" applyBorder="true" applyAlignment="true" applyProtection="true">
      <alignment horizontal="general" vertical="bottom" textRotation="0" wrapText="false" indent="0" shrinkToFit="false"/>
      <protection locked="true" hidden="false"/>
    </xf>
    <xf numFmtId="164" fontId="7" fillId="0" borderId="0" xfId="0" applyFont="true" applyBorder="true" applyAlignment="true" applyProtection="true">
      <alignment horizontal="general" vertical="bottom" textRotation="0" wrapText="true" indent="0" shrinkToFit="false"/>
      <protection locked="true" hidden="false"/>
    </xf>
    <xf numFmtId="164" fontId="8" fillId="0" borderId="0" xfId="0" applyFont="true" applyBorder="true" applyAlignment="true" applyProtection="true">
      <alignment horizontal="center" vertical="top" textRotation="0" wrapText="true" indent="0" shrinkToFit="false"/>
      <protection locked="true" hidden="false"/>
    </xf>
    <xf numFmtId="164" fontId="8" fillId="0" borderId="0" xfId="0" applyFont="true" applyBorder="false" applyAlignment="true" applyProtection="true">
      <alignment horizontal="center" vertical="top" textRotation="0" wrapText="true" indent="0" shrinkToFit="false"/>
      <protection locked="true" hidden="false"/>
    </xf>
    <xf numFmtId="164" fontId="9" fillId="0" borderId="0" xfId="0" applyFont="true" applyBorder="false" applyAlignment="true" applyProtection="true">
      <alignment horizontal="left" vertical="top" textRotation="0" wrapText="true" indent="0" shrinkToFit="false"/>
      <protection locked="true" hidden="false"/>
    </xf>
    <xf numFmtId="164" fontId="10" fillId="0" borderId="0" xfId="0" applyFont="true" applyBorder="true" applyAlignment="true" applyProtection="true">
      <alignment horizontal="center" vertical="center" textRotation="0" wrapText="tru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12" fillId="2" borderId="2" xfId="0" applyFont="true" applyBorder="true" applyAlignment="true" applyProtection="true">
      <alignment horizontal="center" vertical="center" textRotation="0" wrapText="true" indent="0" shrinkToFit="false"/>
      <protection locked="true" hidden="false"/>
    </xf>
    <xf numFmtId="164" fontId="12" fillId="2" borderId="3" xfId="0" applyFont="true" applyBorder="true" applyAlignment="true" applyProtection="true">
      <alignment horizontal="center" vertical="center" textRotation="0" wrapText="true" indent="0" shrinkToFit="false"/>
      <protection locked="true" hidden="false"/>
    </xf>
    <xf numFmtId="164" fontId="12" fillId="2" borderId="4" xfId="0" applyFont="true" applyBorder="true" applyAlignment="true" applyProtection="true">
      <alignment horizontal="center" vertical="center" textRotation="0" wrapText="true" indent="0" shrinkToFit="false"/>
      <protection locked="true" hidden="false"/>
    </xf>
    <xf numFmtId="164" fontId="12" fillId="3" borderId="4" xfId="0" applyFont="true" applyBorder="true" applyAlignment="true" applyProtection="true">
      <alignment horizontal="center" vertical="center" textRotation="0" wrapText="true" indent="0" shrinkToFit="false"/>
      <protection locked="true" hidden="false"/>
    </xf>
    <xf numFmtId="164" fontId="12" fillId="4" borderId="5" xfId="0" applyFont="true" applyBorder="true" applyAlignment="true" applyProtection="true">
      <alignment horizontal="center" vertical="center" textRotation="0" wrapText="false" indent="0" shrinkToFit="false"/>
      <protection locked="true" hidden="false"/>
    </xf>
    <xf numFmtId="164" fontId="12" fillId="4" borderId="4" xfId="0" applyFont="true" applyBorder="true" applyAlignment="true" applyProtection="true">
      <alignment horizontal="center" vertical="center" textRotation="0" wrapText="false" indent="0" shrinkToFit="false"/>
      <protection locked="true" hidden="false"/>
    </xf>
    <xf numFmtId="164" fontId="13" fillId="5" borderId="6" xfId="0" applyFont="true" applyBorder="true" applyAlignment="true" applyProtection="true">
      <alignment horizontal="center" vertical="center" textRotation="0" wrapText="true" indent="0" shrinkToFit="false"/>
      <protection locked="true" hidden="false"/>
    </xf>
    <xf numFmtId="164" fontId="13" fillId="3" borderId="4" xfId="0" applyFont="true" applyBorder="true" applyAlignment="true" applyProtection="true">
      <alignment horizontal="center" vertical="center" textRotation="0" wrapText="true" indent="0" shrinkToFit="false"/>
      <protection locked="true" hidden="false"/>
    </xf>
    <xf numFmtId="164" fontId="17" fillId="3" borderId="7" xfId="0" applyFont="true" applyBorder="true" applyAlignment="true" applyProtection="true">
      <alignment horizontal="center" vertical="center" textRotation="0" wrapText="true" indent="0" shrinkToFit="false"/>
      <protection locked="true" hidden="false"/>
    </xf>
    <xf numFmtId="164" fontId="12" fillId="4" borderId="2" xfId="0" applyFont="true" applyBorder="true" applyAlignment="true" applyProtection="true">
      <alignment horizontal="center" vertical="top" textRotation="0" wrapText="true" indent="0" shrinkToFit="false"/>
      <protection locked="true" hidden="false"/>
    </xf>
    <xf numFmtId="164" fontId="12" fillId="4" borderId="6" xfId="0" applyFont="true" applyBorder="true" applyAlignment="true" applyProtection="true">
      <alignment horizontal="center" vertical="top" textRotation="0" wrapText="true" indent="0" shrinkToFit="false"/>
      <protection locked="true" hidden="false"/>
    </xf>
    <xf numFmtId="164" fontId="12" fillId="3" borderId="1" xfId="0" applyFont="true" applyBorder="true" applyAlignment="true" applyProtection="true">
      <alignment horizontal="center" vertical="center" textRotation="0" wrapText="true" indent="0" shrinkToFit="false"/>
      <protection locked="true" hidden="false"/>
    </xf>
    <xf numFmtId="164" fontId="11" fillId="6" borderId="0" xfId="0" applyFont="true" applyBorder="false" applyAlignment="true" applyProtection="true">
      <alignment horizontal="general" vertical="bottom" textRotation="0" wrapText="false" indent="0" shrinkToFit="false"/>
      <protection locked="true" hidden="false"/>
    </xf>
    <xf numFmtId="164" fontId="18" fillId="2" borderId="8" xfId="0" applyFont="true" applyBorder="true" applyAlignment="true" applyProtection="true">
      <alignment horizontal="center" vertical="center" textRotation="0" wrapText="true" indent="0" shrinkToFit="false"/>
      <protection locked="true" hidden="false"/>
    </xf>
    <xf numFmtId="164" fontId="18" fillId="2" borderId="9" xfId="0" applyFont="true" applyBorder="true" applyAlignment="true" applyProtection="true">
      <alignment horizontal="center" vertical="center" textRotation="0" wrapText="true" indent="0" shrinkToFit="false"/>
      <protection locked="true" hidden="false"/>
    </xf>
    <xf numFmtId="164" fontId="18" fillId="2" borderId="10" xfId="0" applyFont="true" applyBorder="true" applyAlignment="true" applyProtection="true">
      <alignment horizontal="center" vertical="center" textRotation="0" wrapText="true" indent="0" shrinkToFit="false"/>
      <protection locked="true" hidden="false"/>
    </xf>
    <xf numFmtId="164" fontId="18" fillId="2" borderId="11" xfId="0" applyFont="true" applyBorder="true" applyAlignment="true" applyProtection="true">
      <alignment horizontal="center" vertical="center" textRotation="0" wrapText="true" indent="0" shrinkToFit="false"/>
      <protection locked="true" hidden="false"/>
    </xf>
    <xf numFmtId="164" fontId="15" fillId="2" borderId="0" xfId="0" applyFont="true" applyBorder="false" applyAlignment="true" applyProtection="true">
      <alignment horizontal="center" vertical="center" textRotation="0" wrapText="false" indent="0" shrinkToFit="false"/>
      <protection locked="true" hidden="false"/>
    </xf>
    <xf numFmtId="164" fontId="19" fillId="0" borderId="0" xfId="0" applyFont="true" applyBorder="false" applyAlignment="true" applyProtection="true">
      <alignment horizontal="center" vertical="center" textRotation="0" wrapText="true" indent="0" shrinkToFit="false"/>
      <protection locked="true" hidden="false"/>
    </xf>
    <xf numFmtId="164" fontId="11" fillId="0" borderId="12" xfId="0" applyFont="true" applyBorder="true" applyAlignment="true" applyProtection="true">
      <alignment horizontal="center" vertical="center" textRotation="0" wrapText="false" indent="0" shrinkToFit="false"/>
      <protection locked="true" hidden="false"/>
    </xf>
    <xf numFmtId="164" fontId="20" fillId="7" borderId="1" xfId="0" applyFont="true" applyBorder="true" applyAlignment="true" applyProtection="true">
      <alignment horizontal="left" vertical="center" textRotation="0" wrapText="true" indent="0" shrinkToFit="false"/>
      <protection locked="true" hidden="false"/>
    </xf>
    <xf numFmtId="164" fontId="20" fillId="7" borderId="13" xfId="0" applyFont="true" applyBorder="true" applyAlignment="true" applyProtection="true">
      <alignment horizontal="center" vertical="center" textRotation="0" wrapText="true" indent="0" shrinkToFit="false"/>
      <protection locked="true" hidden="false"/>
    </xf>
    <xf numFmtId="165" fontId="20" fillId="7" borderId="13" xfId="0" applyFont="true" applyBorder="true" applyAlignment="true" applyProtection="true">
      <alignment horizontal="center" vertical="center" textRotation="0" wrapText="true" indent="0" shrinkToFit="false"/>
      <protection locked="true" hidden="false"/>
    </xf>
    <xf numFmtId="165" fontId="21" fillId="8" borderId="13" xfId="0" applyFont="true" applyBorder="true" applyAlignment="true" applyProtection="true">
      <alignment horizontal="left" vertical="center" textRotation="0" wrapText="true" indent="0" shrinkToFit="false"/>
      <protection locked="true" hidden="false"/>
    </xf>
    <xf numFmtId="164" fontId="22" fillId="0" borderId="1" xfId="20" applyFont="true" applyBorder="true" applyAlignment="true" applyProtection="true">
      <alignment horizontal="left" vertical="center" textRotation="0" wrapText="true" indent="0" shrinkToFit="false"/>
      <protection locked="true" hidden="false"/>
    </xf>
    <xf numFmtId="166" fontId="18" fillId="0" borderId="1" xfId="0" applyFont="true" applyBorder="true" applyAlignment="true" applyProtection="true">
      <alignment horizontal="left" vertical="center" textRotation="0" wrapText="true" indent="0" shrinkToFit="false"/>
      <protection locked="true" hidden="false"/>
    </xf>
    <xf numFmtId="166" fontId="12" fillId="5" borderId="1" xfId="0" applyFont="true" applyBorder="true" applyAlignment="true" applyProtection="true">
      <alignment horizontal="left" vertical="center" textRotation="0" wrapText="true" indent="0" shrinkToFit="false"/>
      <protection locked="true" hidden="false"/>
    </xf>
    <xf numFmtId="167" fontId="12" fillId="0" borderId="1" xfId="0" applyFont="true" applyBorder="true" applyAlignment="true" applyProtection="true">
      <alignment horizontal="center" vertical="center" textRotation="0" wrapText="true" indent="0" shrinkToFit="false"/>
      <protection locked="true" hidden="false"/>
    </xf>
    <xf numFmtId="164" fontId="23" fillId="9" borderId="1" xfId="0" applyFont="true" applyBorder="true" applyAlignment="true" applyProtection="true">
      <alignment horizontal="left" vertical="center" textRotation="0" wrapText="true" indent="0" shrinkToFit="false"/>
      <protection locked="true" hidden="false"/>
    </xf>
    <xf numFmtId="164" fontId="11" fillId="9" borderId="0" xfId="0" applyFont="true" applyBorder="false" applyAlignment="true" applyProtection="true">
      <alignment horizontal="left" vertical="bottom" textRotation="0" wrapText="false" indent="0" shrinkToFit="false"/>
      <protection locked="true" hidden="false"/>
    </xf>
    <xf numFmtId="169" fontId="19" fillId="9" borderId="1" xfId="15" applyFont="true" applyBorder="true" applyAlignment="true" applyProtection="true">
      <alignment horizontal="center" vertical="center" textRotation="0" wrapText="true" indent="0" shrinkToFit="false"/>
      <protection locked="true" hidden="false"/>
    </xf>
    <xf numFmtId="164" fontId="18" fillId="0" borderId="1" xfId="0" applyFont="true" applyBorder="true" applyAlignment="true" applyProtection="true">
      <alignment horizontal="left" vertical="center" textRotation="0" wrapText="true" indent="0" shrinkToFit="false"/>
      <protection locked="true" hidden="false"/>
    </xf>
    <xf numFmtId="164" fontId="22" fillId="0" borderId="0" xfId="20" applyFont="true" applyBorder="true" applyAlignment="true" applyProtection="true">
      <alignment horizontal="general" vertical="center" textRotation="0" wrapText="true" indent="0" shrinkToFit="false"/>
      <protection locked="true" hidden="false"/>
    </xf>
    <xf numFmtId="164" fontId="24" fillId="0" borderId="1" xfId="0" applyFont="true" applyBorder="true" applyAlignment="true" applyProtection="true">
      <alignment horizontal="left" vertical="center" textRotation="0" wrapText="true" indent="0" shrinkToFit="false"/>
      <protection locked="true" hidden="false"/>
    </xf>
    <xf numFmtId="164" fontId="20" fillId="10" borderId="1" xfId="0" applyFont="true" applyBorder="true" applyAlignment="true" applyProtection="true">
      <alignment horizontal="left" vertical="center" textRotation="0" wrapText="true" indent="0" shrinkToFit="false"/>
      <protection locked="true" hidden="false"/>
    </xf>
    <xf numFmtId="164" fontId="20" fillId="10" borderId="13" xfId="0" applyFont="true" applyBorder="true" applyAlignment="true" applyProtection="true">
      <alignment horizontal="center" vertical="center" textRotation="0" wrapText="true" indent="0" shrinkToFit="false"/>
      <protection locked="true" hidden="false"/>
    </xf>
    <xf numFmtId="165" fontId="20" fillId="10" borderId="13" xfId="0" applyFont="true" applyBorder="true" applyAlignment="true" applyProtection="true">
      <alignment horizontal="center" vertical="center" textRotation="0" wrapText="true" indent="0" shrinkToFit="false"/>
      <protection locked="true" hidden="false"/>
    </xf>
    <xf numFmtId="164" fontId="25" fillId="0" borderId="1" xfId="0" applyFont="true" applyBorder="true" applyAlignment="true" applyProtection="true">
      <alignment horizontal="left" vertical="center" textRotation="0" wrapText="true" indent="0" shrinkToFit="false"/>
      <protection locked="true" hidden="false"/>
    </xf>
    <xf numFmtId="166" fontId="18" fillId="2" borderId="1" xfId="0" applyFont="true" applyBorder="true" applyAlignment="true" applyProtection="true">
      <alignment horizontal="left" vertical="center" textRotation="0" wrapText="true" indent="0" shrinkToFit="false"/>
      <protection locked="true" hidden="false"/>
    </xf>
    <xf numFmtId="166" fontId="12" fillId="2" borderId="1" xfId="0" applyFont="true" applyBorder="true" applyAlignment="true" applyProtection="true">
      <alignment horizontal="left" vertical="center" textRotation="0" wrapText="true" indent="0" shrinkToFit="false"/>
      <protection locked="true" hidden="false"/>
    </xf>
    <xf numFmtId="164" fontId="22" fillId="0" borderId="1" xfId="20" applyFont="true" applyBorder="true" applyAlignment="true" applyProtection="true">
      <alignment horizontal="general" vertical="bottom" textRotation="0" wrapText="false" indent="0" shrinkToFit="false"/>
      <protection locked="true" hidden="false"/>
    </xf>
    <xf numFmtId="164" fontId="24" fillId="2" borderId="1" xfId="0" applyFont="true" applyBorder="true" applyAlignment="true" applyProtection="true">
      <alignment horizontal="left" vertical="center" textRotation="0" wrapText="true" indent="0" shrinkToFit="false"/>
      <protection locked="true" hidden="false"/>
    </xf>
    <xf numFmtId="164" fontId="20" fillId="9" borderId="1" xfId="0" applyFont="true" applyBorder="true" applyAlignment="true" applyProtection="true">
      <alignment horizontal="left" vertical="center" textRotation="0" wrapText="true" indent="0" shrinkToFit="false"/>
      <protection locked="true" hidden="false"/>
    </xf>
    <xf numFmtId="164" fontId="20" fillId="9" borderId="13" xfId="0" applyFont="true" applyBorder="true" applyAlignment="true" applyProtection="true">
      <alignment horizontal="center" vertical="center" textRotation="0" wrapText="true" indent="0" shrinkToFit="false"/>
      <protection locked="true" hidden="false"/>
    </xf>
    <xf numFmtId="165" fontId="20" fillId="9" borderId="13" xfId="0" applyFont="true" applyBorder="true" applyAlignment="true" applyProtection="true">
      <alignment horizontal="center" vertical="center" textRotation="0" wrapText="true" indent="0" shrinkToFit="false"/>
      <protection locked="true" hidden="false"/>
    </xf>
    <xf numFmtId="164" fontId="20" fillId="11" borderId="1" xfId="0" applyFont="true" applyBorder="true" applyAlignment="true" applyProtection="true">
      <alignment horizontal="left" vertical="center" textRotation="0" wrapText="true" indent="0" shrinkToFit="false"/>
      <protection locked="true" hidden="false"/>
    </xf>
    <xf numFmtId="164" fontId="20" fillId="11" borderId="13" xfId="0" applyFont="true" applyBorder="true" applyAlignment="true" applyProtection="true">
      <alignment horizontal="center" vertical="center" textRotation="0" wrapText="true" indent="0" shrinkToFit="false"/>
      <protection locked="true" hidden="false"/>
    </xf>
    <xf numFmtId="165" fontId="20" fillId="11" borderId="13" xfId="0" applyFont="true" applyBorder="true" applyAlignment="true" applyProtection="true">
      <alignment horizontal="center" vertical="center" textRotation="0" wrapText="true" indent="0" shrinkToFit="false"/>
      <protection locked="true" hidden="false"/>
    </xf>
    <xf numFmtId="164" fontId="20" fillId="0" borderId="1" xfId="0" applyFont="true" applyBorder="true" applyAlignment="true" applyProtection="true">
      <alignment horizontal="left" vertical="center" textRotation="0" wrapText="true" indent="0" shrinkToFit="false"/>
      <protection locked="true" hidden="false"/>
    </xf>
    <xf numFmtId="164" fontId="20" fillId="12" borderId="13" xfId="0" applyFont="true" applyBorder="true" applyAlignment="true" applyProtection="true">
      <alignment horizontal="center" vertical="center" textRotation="0" wrapText="true" indent="0" shrinkToFit="false"/>
      <protection locked="true" hidden="false"/>
    </xf>
    <xf numFmtId="165" fontId="20" fillId="12" borderId="13" xfId="0" applyFont="true" applyBorder="true" applyAlignment="true" applyProtection="true">
      <alignment horizontal="center" vertical="center" textRotation="0" wrapText="true" indent="0" shrinkToFit="false"/>
      <protection locked="true" hidden="false"/>
    </xf>
    <xf numFmtId="164" fontId="20" fillId="12" borderId="1" xfId="0" applyFont="true" applyBorder="true" applyAlignment="true" applyProtection="true">
      <alignment horizontal="left" vertical="center" textRotation="0" wrapText="true" indent="0" shrinkToFit="false"/>
      <protection locked="true" hidden="false"/>
    </xf>
    <xf numFmtId="164" fontId="0" fillId="0" borderId="1" xfId="0" applyFont="true" applyBorder="true" applyAlignment="true" applyProtection="true">
      <alignment horizontal="general" vertical="bottom" textRotation="0" wrapText="false" indent="0" shrinkToFit="false"/>
      <protection locked="true" hidden="false"/>
    </xf>
    <xf numFmtId="164" fontId="20" fillId="12" borderId="13" xfId="0" applyFont="true" applyBorder="true" applyAlignment="true" applyProtection="true">
      <alignment horizontal="left" vertical="center" textRotation="0" wrapText="true" indent="0" shrinkToFit="false"/>
      <protection locked="true" hidden="false"/>
    </xf>
    <xf numFmtId="164" fontId="20" fillId="13" borderId="1" xfId="0" applyFont="true" applyBorder="true" applyAlignment="true" applyProtection="true">
      <alignment horizontal="left" vertical="center" textRotation="0" wrapText="true" indent="0" shrinkToFit="false"/>
      <protection locked="true" hidden="false"/>
    </xf>
    <xf numFmtId="164" fontId="20" fillId="13" borderId="13" xfId="0" applyFont="true" applyBorder="true" applyAlignment="true" applyProtection="true">
      <alignment horizontal="center" vertical="center" textRotation="0" wrapText="true" indent="0" shrinkToFit="false"/>
      <protection locked="true" hidden="false"/>
    </xf>
    <xf numFmtId="165" fontId="20" fillId="13" borderId="13" xfId="0" applyFont="true" applyBorder="true" applyAlignment="true" applyProtection="true">
      <alignment horizontal="center" vertical="center" textRotation="0" wrapText="true" indent="0" shrinkToFit="false"/>
      <protection locked="true" hidden="false"/>
    </xf>
    <xf numFmtId="164" fontId="26" fillId="0" borderId="1" xfId="0" applyFont="true" applyBorder="true" applyAlignment="true" applyProtection="true">
      <alignment horizontal="left" vertical="center" textRotation="0" wrapText="true" indent="0" shrinkToFit="false"/>
      <protection locked="true" hidden="false"/>
    </xf>
    <xf numFmtId="164" fontId="27" fillId="0" borderId="1" xfId="0" applyFont="true" applyBorder="true" applyAlignment="true" applyProtection="true">
      <alignment horizontal="left" vertical="center" textRotation="0" wrapText="true" indent="0" shrinkToFit="false"/>
      <protection locked="true" hidden="false"/>
    </xf>
    <xf numFmtId="166" fontId="11" fillId="0" borderId="1" xfId="0" applyFont="true" applyBorder="true" applyAlignment="true" applyProtection="true">
      <alignment horizontal="left" vertical="center" textRotation="0" wrapText="true" indent="0" shrinkToFit="false"/>
      <protection locked="true" hidden="false"/>
    </xf>
    <xf numFmtId="164" fontId="11" fillId="2" borderId="1" xfId="0" applyFont="true" applyBorder="true" applyAlignment="true" applyProtection="true">
      <alignment horizontal="left" vertical="top" textRotation="0" wrapText="false" indent="0" shrinkToFit="false"/>
      <protection locked="true" hidden="false"/>
    </xf>
    <xf numFmtId="164" fontId="23" fillId="0" borderId="1" xfId="0" applyFont="true" applyBorder="true" applyAlignment="true" applyProtection="true">
      <alignment horizontal="left" vertical="center" textRotation="0" wrapText="true" indent="0" shrinkToFit="false"/>
      <protection locked="true" hidden="false"/>
    </xf>
    <xf numFmtId="164" fontId="11" fillId="0" borderId="0" xfId="0" applyFont="true" applyBorder="false" applyAlignment="true" applyProtection="true">
      <alignment horizontal="left" vertical="bottom" textRotation="0" wrapText="false" indent="0" shrinkToFit="false"/>
      <protection locked="true" hidden="false"/>
    </xf>
    <xf numFmtId="164" fontId="18" fillId="0" borderId="0" xfId="0" applyFont="true" applyBorder="false" applyAlignment="true" applyProtection="true">
      <alignment horizontal="general" vertical="bottom" textRotation="0" wrapText="false" indent="0" shrinkToFit="false"/>
      <protection locked="true" hidden="false"/>
    </xf>
    <xf numFmtId="164" fontId="12" fillId="0" borderId="0" xfId="0" applyFont="true" applyBorder="true" applyAlignment="true" applyProtection="true">
      <alignment horizontal="right" vertical="bottom" textRotation="0" wrapText="tru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20" fillId="13" borderId="0" xfId="0" applyFont="true" applyBorder="false" applyAlignment="true" applyProtection="true">
      <alignment horizontal="left" vertical="center" textRotation="0" wrapText="true" indent="0" shrinkToFit="false"/>
      <protection locked="true" hidden="false"/>
    </xf>
    <xf numFmtId="164" fontId="28" fillId="0" borderId="0" xfId="0" applyFont="true" applyBorder="true" applyAlignment="true" applyProtection="true">
      <alignment horizontal="general" vertical="bottom" textRotation="0" wrapText="true" indent="0" shrinkToFit="false"/>
      <protection locked="true" hidden="false"/>
    </xf>
    <xf numFmtId="164" fontId="23" fillId="14" borderId="4" xfId="0" applyFont="true" applyBorder="true" applyAlignment="true" applyProtection="true">
      <alignment horizontal="center" vertical="center" textRotation="0" wrapText="true" indent="0" shrinkToFit="false"/>
      <protection locked="true" hidden="false"/>
    </xf>
    <xf numFmtId="164" fontId="30" fillId="0" borderId="14" xfId="0" applyFont="true" applyBorder="true" applyAlignment="true" applyProtection="true">
      <alignment horizontal="center" vertical="top" textRotation="0" wrapText="true" indent="0" shrinkToFit="false"/>
      <protection locked="true" hidden="false"/>
    </xf>
    <xf numFmtId="164" fontId="30" fillId="0" borderId="15" xfId="0" applyFont="true" applyBorder="true" applyAlignment="true" applyProtection="true">
      <alignment horizontal="center" vertical="top" textRotation="0" wrapText="true" indent="0" shrinkToFit="false"/>
      <protection locked="true" hidden="false"/>
    </xf>
    <xf numFmtId="164" fontId="30" fillId="0" borderId="16" xfId="0" applyFont="true" applyBorder="true" applyAlignment="true" applyProtection="true">
      <alignment horizontal="center" vertical="top" textRotation="0" wrapText="true" indent="0" shrinkToFit="false"/>
      <protection locked="true" hidden="false"/>
    </xf>
    <xf numFmtId="164" fontId="4" fillId="0" borderId="1" xfId="0" applyFont="true" applyBorder="true" applyAlignment="true" applyProtection="true">
      <alignment horizontal="center" vertical="top" textRotation="0" wrapText="true" indent="0" shrinkToFit="false"/>
      <protection locked="true" hidden="false"/>
    </xf>
    <xf numFmtId="164" fontId="30" fillId="0" borderId="1" xfId="0" applyFont="true" applyBorder="true" applyAlignment="true" applyProtection="true">
      <alignment horizontal="center" vertical="top" textRotation="0" wrapText="true" indent="0" shrinkToFit="false"/>
      <protection locked="true" hidden="false"/>
    </xf>
    <xf numFmtId="164" fontId="11" fillId="15" borderId="12" xfId="0" applyFont="true" applyBorder="true" applyAlignment="true" applyProtection="true">
      <alignment horizontal="center" vertical="center" textRotation="0" wrapText="false" indent="0" shrinkToFit="false"/>
      <protection locked="true" hidden="false"/>
    </xf>
    <xf numFmtId="164" fontId="11" fillId="0" borderId="17" xfId="0" applyFont="true" applyBorder="true" applyAlignment="true" applyProtection="true">
      <alignment horizontal="left" vertical="center" textRotation="0" wrapText="true" indent="0" shrinkToFit="false"/>
      <protection locked="true" hidden="false"/>
    </xf>
    <xf numFmtId="165" fontId="4" fillId="0" borderId="0" xfId="0" applyFont="true" applyBorder="false" applyAlignment="true" applyProtection="true">
      <alignment horizontal="left" vertical="center" textRotation="0" wrapText="true" indent="0" shrinkToFit="false"/>
      <protection locked="true" hidden="false"/>
    </xf>
    <xf numFmtId="168" fontId="31" fillId="0" borderId="1" xfId="15" applyFont="true" applyBorder="true" applyAlignment="true" applyProtection="true">
      <alignment horizontal="center" vertical="center" textRotation="0" wrapText="false" indent="0" shrinkToFit="false"/>
      <protection locked="true" hidden="false"/>
    </xf>
    <xf numFmtId="164" fontId="22" fillId="0" borderId="1" xfId="20" applyFont="true" applyBorder="true" applyAlignment="true" applyProtection="true">
      <alignment horizontal="center" vertical="bottom" textRotation="0" wrapText="true" indent="0" shrinkToFit="false"/>
      <protection locked="true" hidden="false"/>
    </xf>
    <xf numFmtId="168" fontId="11" fillId="0" borderId="1" xfId="15" applyFont="true" applyBorder="true" applyAlignment="true" applyProtection="true">
      <alignment horizontal="left" vertical="bottom" textRotation="0" wrapText="false" indent="0" shrinkToFit="false"/>
      <protection locked="true" hidden="false"/>
    </xf>
    <xf numFmtId="168" fontId="11" fillId="0" borderId="1" xfId="0" applyFont="true" applyBorder="true" applyAlignment="true" applyProtection="true">
      <alignment horizontal="left" vertical="bottom" textRotation="0" wrapText="false" indent="0" shrinkToFit="false"/>
      <protection locked="true" hidden="false"/>
    </xf>
    <xf numFmtId="168" fontId="0" fillId="0" borderId="1" xfId="15" applyFont="true" applyBorder="true" applyAlignment="true" applyProtection="true">
      <alignment horizontal="general" vertical="bottom" textRotation="0" wrapText="false" indent="0" shrinkToFit="false"/>
      <protection locked="true" hidden="false"/>
    </xf>
    <xf numFmtId="165" fontId="32" fillId="0" borderId="1" xfId="0" applyFont="true" applyBorder="true" applyAlignment="true" applyProtection="true">
      <alignment horizontal="center" vertical="top" textRotation="0" wrapText="true" indent="0" shrinkToFit="false"/>
      <protection locked="true" hidden="false"/>
    </xf>
    <xf numFmtId="165" fontId="4" fillId="0" borderId="7" xfId="0" applyFont="true" applyBorder="true" applyAlignment="true" applyProtection="true">
      <alignment horizontal="left" vertical="center" textRotation="0" wrapText="true" indent="0" shrinkToFit="false"/>
      <protection locked="true" hidden="false"/>
    </xf>
    <xf numFmtId="164" fontId="9" fillId="0" borderId="17" xfId="0" applyFont="true" applyBorder="true" applyAlignment="true" applyProtection="true">
      <alignment horizontal="center" vertical="center" textRotation="0" wrapText="false" indent="0" shrinkToFit="false"/>
      <protection locked="true" hidden="false"/>
    </xf>
    <xf numFmtId="164" fontId="22" fillId="0" borderId="1" xfId="20" applyFont="true" applyBorder="true" applyAlignment="true" applyProtection="true">
      <alignment horizontal="left" vertical="bottom" textRotation="0" wrapText="true" indent="0" shrinkToFit="false"/>
      <protection locked="true" hidden="false"/>
    </xf>
    <xf numFmtId="164" fontId="22" fillId="0" borderId="1" xfId="20" applyFont="true" applyBorder="true" applyAlignment="true" applyProtection="true">
      <alignment horizontal="general" vertical="bottom" textRotation="0" wrapText="true" indent="0" shrinkToFit="false"/>
      <protection locked="true" hidden="false"/>
    </xf>
    <xf numFmtId="170" fontId="11" fillId="0" borderId="1" xfId="0" applyFont="true" applyBorder="true" applyAlignment="true" applyProtection="true">
      <alignment horizontal="center" vertical="bottom" textRotation="0" wrapText="false" indent="0" shrinkToFit="false"/>
      <protection locked="true" hidden="false"/>
    </xf>
    <xf numFmtId="164" fontId="11" fillId="0" borderId="17" xfId="0" applyFont="true" applyBorder="true" applyAlignment="true" applyProtection="true">
      <alignment horizontal="left" vertical="center" textRotation="0" wrapText="false" indent="0" shrinkToFit="false"/>
      <protection locked="true" hidden="false"/>
    </xf>
    <xf numFmtId="170" fontId="11" fillId="0" borderId="1" xfId="0" applyFont="true" applyBorder="true" applyAlignment="true" applyProtection="true">
      <alignment horizontal="left" vertical="bottom" textRotation="0" wrapText="false" indent="0" shrinkToFit="false"/>
      <protection locked="true" hidden="false"/>
    </xf>
    <xf numFmtId="164" fontId="11" fillId="0" borderId="17" xfId="0" applyFont="true" applyBorder="true" applyAlignment="true" applyProtection="true">
      <alignment horizontal="center" vertical="center" textRotation="0" wrapText="false" indent="0" shrinkToFit="false"/>
      <protection locked="true" hidden="false"/>
    </xf>
    <xf numFmtId="164" fontId="11" fillId="0" borderId="17" xfId="0" applyFont="true" applyBorder="true" applyAlignment="true" applyProtection="true">
      <alignment horizontal="center" vertical="center" textRotation="0" wrapText="true" indent="0" shrinkToFit="false"/>
      <protection locked="true" hidden="false"/>
    </xf>
    <xf numFmtId="168" fontId="31" fillId="16" borderId="1" xfId="15" applyFont="true" applyBorder="true" applyAlignment="true" applyProtection="true">
      <alignment horizontal="center" vertical="center" textRotation="0" wrapText="false" indent="0" shrinkToFit="false"/>
      <protection locked="true" hidden="false"/>
    </xf>
    <xf numFmtId="164" fontId="11" fillId="0" borderId="17" xfId="0" applyFont="true" applyBorder="true" applyAlignment="true" applyProtection="true">
      <alignment horizontal="general" vertical="center" textRotation="0" wrapText="false" indent="0" shrinkToFit="false"/>
      <protection locked="true" hidden="false"/>
    </xf>
    <xf numFmtId="168" fontId="11" fillId="0" borderId="1" xfId="15" applyFont="true" applyBorder="true" applyAlignment="true" applyProtection="true">
      <alignment horizontal="center" vertical="center" textRotation="0" wrapText="false" indent="0" shrinkToFit="false"/>
      <protection locked="true" hidden="false"/>
    </xf>
    <xf numFmtId="164" fontId="11" fillId="0" borderId="17" xfId="0" applyFont="true" applyBorder="true" applyAlignment="true" applyProtection="true">
      <alignment horizontal="general" vertical="center" textRotation="0" wrapText="true" indent="0" shrinkToFit="false"/>
      <protection locked="true" hidden="false"/>
    </xf>
    <xf numFmtId="164" fontId="11" fillId="0" borderId="7" xfId="0" applyFont="true" applyBorder="true" applyAlignment="true" applyProtection="true">
      <alignment horizontal="left" vertical="center" textRotation="0" wrapText="true" indent="0" shrinkToFit="false"/>
      <protection locked="true" hidden="false"/>
    </xf>
    <xf numFmtId="164" fontId="22" fillId="0" borderId="1" xfId="20" applyFont="true" applyBorder="true" applyAlignment="true" applyProtection="true">
      <alignment horizontal="general" vertical="center" textRotation="0" wrapText="true" indent="0" shrinkToFit="false"/>
      <protection locked="true" hidden="false"/>
    </xf>
    <xf numFmtId="164" fontId="12" fillId="0" borderId="2" xfId="0" applyFont="true" applyBorder="true" applyAlignment="true" applyProtection="true">
      <alignment horizontal="center" vertical="center" textRotation="0" wrapText="true" indent="0" shrinkToFit="false"/>
      <protection locked="true" hidden="false"/>
    </xf>
    <xf numFmtId="164" fontId="12" fillId="0" borderId="3" xfId="0" applyFont="true" applyBorder="true" applyAlignment="true" applyProtection="true">
      <alignment horizontal="center" vertical="center" textRotation="0" wrapText="true" indent="0" shrinkToFit="false"/>
      <protection locked="true" hidden="false"/>
    </xf>
    <xf numFmtId="164" fontId="12" fillId="0" borderId="4" xfId="0" applyFont="true" applyBorder="true" applyAlignment="true" applyProtection="true">
      <alignment horizontal="center" vertical="center" textRotation="0" wrapText="true" indent="0" shrinkToFit="false"/>
      <protection locked="true" hidden="false"/>
    </xf>
    <xf numFmtId="164" fontId="12" fillId="0" borderId="5" xfId="0" applyFont="true" applyBorder="true" applyAlignment="true" applyProtection="true">
      <alignment horizontal="center" vertical="center" textRotation="0" wrapText="false" indent="0" shrinkToFit="false"/>
      <protection locked="true" hidden="false"/>
    </xf>
    <xf numFmtId="164" fontId="12" fillId="0" borderId="4" xfId="0" applyFont="true" applyBorder="true" applyAlignment="true" applyProtection="true">
      <alignment horizontal="center" vertical="center" textRotation="0" wrapText="false" indent="0" shrinkToFit="false"/>
      <protection locked="true" hidden="false"/>
    </xf>
    <xf numFmtId="164" fontId="13" fillId="0" borderId="6" xfId="0" applyFont="true" applyBorder="true" applyAlignment="true" applyProtection="true">
      <alignment horizontal="center" vertical="center" textRotation="0" wrapText="true" indent="0" shrinkToFit="false"/>
      <protection locked="true" hidden="false"/>
    </xf>
    <xf numFmtId="164" fontId="13" fillId="0" borderId="4" xfId="0" applyFont="true" applyBorder="true" applyAlignment="true" applyProtection="true">
      <alignment horizontal="center" vertical="center" textRotation="0" wrapText="true" indent="0" shrinkToFit="false"/>
      <protection locked="true" hidden="false"/>
    </xf>
    <xf numFmtId="164" fontId="13" fillId="0" borderId="18" xfId="0" applyFont="true" applyBorder="true" applyAlignment="true" applyProtection="true">
      <alignment horizontal="center" vertical="center" textRotation="0" wrapText="true" indent="0" shrinkToFit="false"/>
      <protection locked="true" hidden="false"/>
    </xf>
    <xf numFmtId="164" fontId="17" fillId="0" borderId="7" xfId="0" applyFont="true" applyBorder="true" applyAlignment="true" applyProtection="true">
      <alignment horizontal="center" vertical="center" textRotation="0" wrapText="true" indent="0" shrinkToFit="false"/>
      <protection locked="true" hidden="false"/>
    </xf>
    <xf numFmtId="164" fontId="4" fillId="0" borderId="19" xfId="0" applyFont="true" applyBorder="true" applyAlignment="true" applyProtection="true">
      <alignment horizontal="center" vertical="top" textRotation="0" wrapText="true" indent="0" shrinkToFit="false"/>
      <protection locked="true" hidden="false"/>
    </xf>
    <xf numFmtId="164" fontId="12" fillId="0" borderId="2" xfId="0" applyFont="true" applyBorder="true" applyAlignment="true" applyProtection="true">
      <alignment horizontal="center" vertical="top" textRotation="0" wrapText="true" indent="0" shrinkToFit="false"/>
      <protection locked="true" hidden="false"/>
    </xf>
    <xf numFmtId="164" fontId="12" fillId="0" borderId="6" xfId="0" applyFont="true" applyBorder="true" applyAlignment="true" applyProtection="true">
      <alignment horizontal="center" vertical="top" textRotation="0" wrapText="true" indent="0" shrinkToFit="false"/>
      <protection locked="true" hidden="false"/>
    </xf>
    <xf numFmtId="164" fontId="12" fillId="0" borderId="19" xfId="0" applyFont="true" applyBorder="true" applyAlignment="true" applyProtection="true">
      <alignment horizontal="center" vertical="center" textRotation="0" wrapText="true" indent="0" shrinkToFit="false"/>
      <protection locked="true" hidden="false"/>
    </xf>
    <xf numFmtId="164" fontId="30" fillId="0" borderId="19" xfId="0" applyFont="true" applyBorder="true" applyAlignment="true" applyProtection="true">
      <alignment horizontal="center" vertical="top" textRotation="0" wrapText="true" indent="0" shrinkToFit="false"/>
      <protection locked="true" hidden="false"/>
    </xf>
    <xf numFmtId="164" fontId="18" fillId="0" borderId="11" xfId="0" applyFont="true" applyBorder="true" applyAlignment="true" applyProtection="true">
      <alignment horizontal="center" vertical="center" textRotation="0" wrapText="true" indent="0" shrinkToFit="false"/>
      <protection locked="true" hidden="false"/>
    </xf>
    <xf numFmtId="164" fontId="18" fillId="2" borderId="1" xfId="0" applyFont="true" applyBorder="true" applyAlignment="true" applyProtection="true">
      <alignment horizontal="center" vertical="center" textRotation="0" wrapText="true" indent="0" shrinkToFit="false"/>
      <protection locked="true" hidden="false"/>
    </xf>
    <xf numFmtId="164" fontId="15" fillId="2" borderId="1" xfId="0" applyFont="true" applyBorder="true" applyAlignment="true" applyProtection="true">
      <alignment horizontal="center" vertical="center" textRotation="0" wrapText="false" indent="0" shrinkToFit="false"/>
      <protection locked="true" hidden="false"/>
    </xf>
    <xf numFmtId="164" fontId="19" fillId="0" borderId="1" xfId="0" applyFont="true" applyBorder="true" applyAlignment="true" applyProtection="true">
      <alignment horizontal="center" vertical="center" textRotation="0" wrapText="true" indent="0" shrinkToFit="false"/>
      <protection locked="true" hidden="false"/>
    </xf>
    <xf numFmtId="164" fontId="20" fillId="0" borderId="13" xfId="0" applyFont="true" applyBorder="true" applyAlignment="true" applyProtection="true">
      <alignment horizontal="center" vertical="center" textRotation="0" wrapText="true" indent="0" shrinkToFit="false"/>
      <protection locked="true" hidden="false"/>
    </xf>
    <xf numFmtId="165" fontId="21" fillId="0" borderId="13" xfId="0" applyFont="true" applyBorder="true" applyAlignment="true" applyProtection="true">
      <alignment horizontal="left" vertical="center" textRotation="0" wrapText="true" indent="0" shrinkToFit="false"/>
      <protection locked="true" hidden="false"/>
    </xf>
    <xf numFmtId="166" fontId="12" fillId="0" borderId="1" xfId="0" applyFont="true" applyBorder="true" applyAlignment="true" applyProtection="true">
      <alignment horizontal="left" vertical="center" textRotation="0" wrapText="true" indent="0" shrinkToFit="false"/>
      <protection locked="true" hidden="false"/>
    </xf>
    <xf numFmtId="166" fontId="12" fillId="0" borderId="20" xfId="0" applyFont="true" applyBorder="true" applyAlignment="true" applyProtection="true">
      <alignment horizontal="left" vertical="center" textRotation="0" wrapText="true" indent="0" shrinkToFit="false"/>
      <protection locked="true" hidden="false"/>
    </xf>
    <xf numFmtId="164" fontId="23" fillId="0" borderId="20" xfId="0" applyFont="true" applyBorder="true" applyAlignment="true" applyProtection="true">
      <alignment horizontal="left" vertical="center" textRotation="0" wrapText="true" indent="0" shrinkToFit="false"/>
      <protection locked="true" hidden="false"/>
    </xf>
    <xf numFmtId="169" fontId="19" fillId="0" borderId="20" xfId="15" applyFont="true" applyBorder="true" applyAlignment="true" applyProtection="true">
      <alignment horizontal="center" vertical="center" textRotation="0" wrapText="true" indent="0" shrinkToFit="false"/>
      <protection locked="true" hidden="false"/>
    </xf>
    <xf numFmtId="168" fontId="31" fillId="0" borderId="20" xfId="15" applyFont="true" applyBorder="true" applyAlignment="true" applyProtection="true">
      <alignment horizontal="center" vertical="center" textRotation="0" wrapText="false" indent="0" shrinkToFit="false"/>
      <protection locked="true" hidden="false"/>
    </xf>
    <xf numFmtId="164" fontId="22" fillId="0" borderId="20" xfId="20" applyFont="true" applyBorder="true" applyAlignment="true" applyProtection="true">
      <alignment horizontal="general" vertical="bottom" textRotation="0" wrapText="true" indent="0" shrinkToFit="false"/>
      <protection locked="true" hidden="false"/>
    </xf>
    <xf numFmtId="168" fontId="11" fillId="0" borderId="20" xfId="15" applyFont="true" applyBorder="true" applyAlignment="true" applyProtection="true">
      <alignment horizontal="left" vertical="bottom" textRotation="0" wrapText="false" indent="0" shrinkToFit="false"/>
      <protection locked="true" hidden="false"/>
    </xf>
    <xf numFmtId="168" fontId="11" fillId="0" borderId="20" xfId="0" applyFont="true" applyBorder="true" applyAlignment="true" applyProtection="true">
      <alignment horizontal="left" vertical="bottom" textRotation="0" wrapText="false" indent="0" shrinkToFit="false"/>
      <protection locked="true" hidden="false"/>
    </xf>
    <xf numFmtId="164" fontId="22" fillId="0" borderId="20" xfId="20" applyFont="true" applyBorder="true" applyAlignment="true" applyProtection="true">
      <alignment horizontal="center" vertical="bottom" textRotation="0" wrapText="true" indent="0" shrinkToFit="false"/>
      <protection locked="true" hidden="false"/>
    </xf>
    <xf numFmtId="168" fontId="0" fillId="0" borderId="20" xfId="15" applyFont="true" applyBorder="true" applyAlignment="true" applyProtection="true">
      <alignment horizontal="general" vertical="bottom" textRotation="0" wrapText="false" indent="0" shrinkToFit="false"/>
      <protection locked="true" hidden="false"/>
    </xf>
    <xf numFmtId="165" fontId="32" fillId="0" borderId="20" xfId="0" applyFont="true" applyBorder="true" applyAlignment="true" applyProtection="true">
      <alignment horizontal="center" vertical="top" textRotation="0" wrapText="true" indent="0" shrinkToFit="false"/>
      <protection locked="true" hidden="false"/>
    </xf>
    <xf numFmtId="169" fontId="19" fillId="0" borderId="1" xfId="15" applyFont="true" applyBorder="true" applyAlignment="true" applyProtection="true">
      <alignment horizontal="center" vertical="center" textRotation="0" wrapText="true" indent="0" shrinkToFit="false"/>
      <protection locked="true" hidden="false"/>
    </xf>
    <xf numFmtId="164" fontId="22" fillId="0" borderId="1" xfId="20" applyFont="true" applyBorder="true" applyAlignment="true" applyProtection="true">
      <alignment horizontal="general" vertical="center" textRotation="0" wrapText="false" indent="0" shrinkToFit="false"/>
      <protection locked="true" hidden="false"/>
    </xf>
    <xf numFmtId="168" fontId="31" fillId="8" borderId="1" xfId="15" applyFont="true" applyBorder="true" applyAlignment="true" applyProtection="true">
      <alignment horizontal="center" vertical="center" textRotation="0" wrapText="false" indent="0" shrinkToFit="false"/>
      <protection locked="true" hidden="false"/>
    </xf>
    <xf numFmtId="168" fontId="11" fillId="0" borderId="1" xfId="15" applyFont="true" applyBorder="true" applyAlignment="true" applyProtection="true">
      <alignment horizontal="center" vertical="bottom" textRotation="0" wrapText="false" indent="0" shrinkToFit="false"/>
      <protection locked="true" hidden="false"/>
    </xf>
    <xf numFmtId="164" fontId="24" fillId="0" borderId="1" xfId="0" applyFont="true" applyBorder="true" applyAlignment="true" applyProtection="true">
      <alignment horizontal="general" vertical="center" textRotation="0" wrapText="true" indent="0" shrinkToFit="false"/>
      <protection locked="true" hidden="false"/>
    </xf>
    <xf numFmtId="164" fontId="11" fillId="17" borderId="12" xfId="0" applyFont="true" applyBorder="true" applyAlignment="true" applyProtection="true">
      <alignment horizontal="center" vertical="center" textRotation="0" wrapText="false" indent="0" shrinkToFit="false"/>
      <protection locked="true" hidden="false"/>
    </xf>
    <xf numFmtId="164" fontId="20" fillId="17" borderId="1" xfId="0" applyFont="true" applyBorder="true" applyAlignment="true" applyProtection="true">
      <alignment horizontal="left" vertical="center" textRotation="0" wrapText="true" indent="0" shrinkToFit="false"/>
      <protection locked="true" hidden="false"/>
    </xf>
    <xf numFmtId="164" fontId="20" fillId="17" borderId="13" xfId="0" applyFont="true" applyBorder="true" applyAlignment="true" applyProtection="true">
      <alignment horizontal="center" vertical="center" textRotation="0" wrapText="true" indent="0" shrinkToFit="false"/>
      <protection locked="true" hidden="false"/>
    </xf>
    <xf numFmtId="164" fontId="22" fillId="0" borderId="0" xfId="20" applyFont="true" applyBorder="true" applyAlignment="true" applyProtection="true">
      <alignment horizontal="general" vertical="bottom" textRotation="0" wrapText="true" indent="0" shrinkToFit="false"/>
      <protection locked="true" hidden="false"/>
    </xf>
    <xf numFmtId="169" fontId="19" fillId="16" borderId="1" xfId="15" applyFont="true" applyBorder="true" applyAlignment="true" applyProtection="true">
      <alignment horizontal="center" vertical="center" textRotation="0" wrapText="true" indent="0" shrinkToFit="false"/>
      <protection locked="true" hidden="false"/>
    </xf>
    <xf numFmtId="165" fontId="32" fillId="16" borderId="1" xfId="0" applyFont="true" applyBorder="true" applyAlignment="true" applyProtection="true">
      <alignment horizontal="center" vertical="top" textRotation="0" wrapText="true" indent="0" shrinkToFit="false"/>
      <protection locked="true" hidden="false"/>
    </xf>
    <xf numFmtId="164" fontId="11" fillId="16" borderId="0" xfId="0" applyFont="true" applyBorder="false" applyAlignment="true" applyProtection="true">
      <alignment horizontal="left" vertical="bottom" textRotation="0" wrapText="false" indent="0" shrinkToFit="false"/>
      <protection locked="true" hidden="false"/>
    </xf>
    <xf numFmtId="164" fontId="18" fillId="0" borderId="1" xfId="0" applyFont="true" applyBorder="true" applyAlignment="true" applyProtection="true">
      <alignment horizontal="general" vertical="center" textRotation="0" wrapText="true" indent="0" shrinkToFit="false"/>
      <protection locked="true" hidden="false"/>
    </xf>
    <xf numFmtId="169" fontId="19" fillId="9" borderId="0" xfId="15" applyFont="true" applyBorder="true" applyAlignment="true" applyProtection="true">
      <alignment horizontal="center" vertical="center" textRotation="0" wrapText="true" indent="0" shrinkToFit="false"/>
      <protection locked="true" hidden="false"/>
    </xf>
    <xf numFmtId="168" fontId="11" fillId="0" borderId="13" xfId="15" applyFont="true" applyBorder="true" applyAlignment="true" applyProtection="true">
      <alignment horizontal="left" vertical="bottom" textRotation="0" wrapText="false" indent="0" shrinkToFit="false"/>
      <protection locked="true" hidden="false"/>
    </xf>
    <xf numFmtId="164" fontId="32" fillId="2" borderId="1" xfId="0" applyFont="true" applyBorder="true" applyAlignment="true" applyProtection="true">
      <alignment horizontal="left" vertical="top" textRotation="0" wrapText="false" indent="0" shrinkToFit="false"/>
      <protection locked="true" hidden="false"/>
    </xf>
    <xf numFmtId="165" fontId="18" fillId="0" borderId="0" xfId="0" applyFont="true" applyBorder="false" applyAlignment="true" applyProtection="true">
      <alignment horizontal="general" vertical="bottom" textRotation="0" wrapText="false" indent="0" shrinkToFit="false"/>
      <protection locked="true" hidden="false"/>
    </xf>
    <xf numFmtId="164" fontId="35" fillId="0" borderId="1" xfId="0" applyFont="true" applyBorder="true" applyAlignment="true" applyProtection="true">
      <alignment horizontal="center" vertical="center" textRotation="0" wrapText="true" indent="0" shrinkToFit="false"/>
      <protection locked="true" hidden="false"/>
    </xf>
    <xf numFmtId="164" fontId="36" fillId="0" borderId="21" xfId="0" applyFont="true" applyBorder="true" applyAlignment="true" applyProtection="true">
      <alignment horizontal="center" vertical="center" textRotation="0" wrapText="true" indent="0" shrinkToFit="false"/>
      <protection locked="true" hidden="false"/>
    </xf>
    <xf numFmtId="164" fontId="36" fillId="0" borderId="22" xfId="0" applyFont="true" applyBorder="true" applyAlignment="true" applyProtection="true">
      <alignment horizontal="center" vertical="center" textRotation="0" wrapText="true" indent="0" shrinkToFit="false"/>
      <protection locked="true" hidden="false"/>
    </xf>
    <xf numFmtId="164" fontId="36" fillId="0" borderId="23" xfId="0" applyFont="true" applyBorder="true" applyAlignment="true" applyProtection="true">
      <alignment horizontal="center" vertical="center" textRotation="0" wrapText="true" indent="0" shrinkToFit="false"/>
      <protection locked="true" hidden="false"/>
    </xf>
    <xf numFmtId="164" fontId="37" fillId="0" borderId="0" xfId="0" applyFont="true" applyBorder="false" applyAlignment="true" applyProtection="true">
      <alignment horizontal="general" vertical="bottom" textRotation="0" wrapText="false" indent="0" shrinkToFit="false"/>
      <protection locked="true" hidden="false"/>
    </xf>
    <xf numFmtId="164" fontId="18" fillId="0" borderId="1" xfId="0" applyFont="true" applyBorder="true" applyAlignment="true" applyProtection="true">
      <alignment horizontal="center" vertical="center" textRotation="0" wrapText="true" indent="0" shrinkToFit="false"/>
      <protection locked="true" hidden="false"/>
    </xf>
    <xf numFmtId="164" fontId="15" fillId="0" borderId="0" xfId="0" applyFont="true" applyBorder="false" applyAlignment="true" applyProtection="true">
      <alignment horizontal="center" vertical="center" textRotation="0" wrapText="false" indent="0" shrinkToFit="false"/>
      <protection locked="true" hidden="false"/>
    </xf>
    <xf numFmtId="164" fontId="11" fillId="0" borderId="24" xfId="0" applyFont="true" applyBorder="true" applyAlignment="true" applyProtection="true">
      <alignment horizontal="center" vertical="center" textRotation="0" wrapText="false" indent="0" shrinkToFit="false"/>
      <protection locked="true" hidden="false"/>
    </xf>
    <xf numFmtId="164" fontId="38" fillId="0" borderId="1" xfId="0" applyFont="true" applyBorder="true" applyAlignment="true" applyProtection="true">
      <alignment horizontal="left" vertical="center" textRotation="0" wrapText="true" indent="0" shrinkToFit="false"/>
      <protection locked="true" hidden="false"/>
    </xf>
    <xf numFmtId="164" fontId="7" fillId="0" borderId="13" xfId="0" applyFont="true" applyBorder="true" applyAlignment="true" applyProtection="true">
      <alignment horizontal="center" vertical="center" textRotation="0" wrapText="true" indent="0" shrinkToFit="false"/>
      <protection locked="true" hidden="false"/>
    </xf>
    <xf numFmtId="164" fontId="32" fillId="0" borderId="13" xfId="0" applyFont="true" applyBorder="true" applyAlignment="true" applyProtection="true">
      <alignment horizontal="center" vertical="center" textRotation="0" wrapText="true" indent="0" shrinkToFit="false"/>
      <protection locked="true" hidden="false"/>
    </xf>
    <xf numFmtId="165" fontId="21" fillId="0" borderId="25" xfId="0" applyFont="true" applyBorder="true" applyAlignment="true" applyProtection="true">
      <alignment horizontal="left" vertical="center" textRotation="0" wrapText="true" indent="0" shrinkToFit="false"/>
      <protection locked="true" hidden="false"/>
    </xf>
    <xf numFmtId="164" fontId="39" fillId="2" borderId="26" xfId="0" applyFont="true" applyBorder="true" applyAlignment="true" applyProtection="true">
      <alignment horizontal="center" vertical="center" textRotation="0" wrapText="true" indent="0" shrinkToFit="false"/>
      <protection locked="true" hidden="false"/>
    </xf>
    <xf numFmtId="164" fontId="11" fillId="2" borderId="0" xfId="0" applyFont="true" applyBorder="false" applyAlignment="true" applyProtection="true">
      <alignment horizontal="general" vertical="bottom" textRotation="0" wrapText="false" indent="0" shrinkToFit="false"/>
      <protection locked="true" hidden="false"/>
    </xf>
    <xf numFmtId="164" fontId="0" fillId="18" borderId="0" xfId="0" applyFont="false" applyBorder="false" applyAlignment="true" applyProtection="true">
      <alignment horizontal="general" vertical="bottom" textRotation="0" wrapText="fals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7" fillId="2" borderId="0" xfId="0" applyFont="true" applyBorder="true" applyAlignment="true" applyProtection="true">
      <alignment horizontal="general" vertical="bottom" textRotation="0" wrapText="false" indent="0" shrinkToFit="false"/>
      <protection locked="true" hidden="false"/>
    </xf>
    <xf numFmtId="164" fontId="7" fillId="2" borderId="0" xfId="0" applyFont="true" applyBorder="true" applyAlignment="true" applyProtection="true">
      <alignment horizontal="general" vertical="bottom" textRotation="0" wrapText="true" indent="0" shrinkToFit="false"/>
      <protection locked="true" hidden="false"/>
    </xf>
    <xf numFmtId="164" fontId="8" fillId="2" borderId="0" xfId="0" applyFont="true" applyBorder="true" applyAlignment="true" applyProtection="true">
      <alignment horizontal="center" vertical="top" textRotation="0" wrapText="true" indent="0" shrinkToFit="false"/>
      <protection locked="true" hidden="false"/>
    </xf>
    <xf numFmtId="164" fontId="8" fillId="2" borderId="0" xfId="0" applyFont="true" applyBorder="false" applyAlignment="true" applyProtection="true">
      <alignment horizontal="center" vertical="top" textRotation="0" wrapText="true" indent="0" shrinkToFit="false"/>
      <protection locked="true" hidden="false"/>
    </xf>
    <xf numFmtId="164" fontId="9" fillId="18" borderId="0" xfId="0" applyFont="true" applyBorder="false" applyAlignment="true" applyProtection="true">
      <alignment horizontal="left" vertical="top" textRotation="0" wrapText="true" indent="0" shrinkToFit="false"/>
      <protection locked="true" hidden="false"/>
    </xf>
    <xf numFmtId="164" fontId="9" fillId="2" borderId="0" xfId="0" applyFont="true" applyBorder="false" applyAlignment="true" applyProtection="true">
      <alignment horizontal="left" vertical="top" textRotation="0" wrapText="true" indent="0" shrinkToFit="false"/>
      <protection locked="true" hidden="false"/>
    </xf>
    <xf numFmtId="164" fontId="10" fillId="2" borderId="0" xfId="0" applyFont="true" applyBorder="true" applyAlignment="true" applyProtection="true">
      <alignment horizontal="center" vertical="center" textRotation="0" wrapText="true" indent="0" shrinkToFit="false"/>
      <protection locked="true" hidden="false"/>
    </xf>
    <xf numFmtId="164" fontId="11" fillId="18" borderId="0" xfId="0" applyFont="true" applyBorder="false" applyAlignment="true" applyProtection="true">
      <alignment horizontal="general" vertical="bottom" textRotation="0" wrapText="false" indent="0" shrinkToFit="false"/>
      <protection locked="true" hidden="false"/>
    </xf>
    <xf numFmtId="164" fontId="36" fillId="2" borderId="2" xfId="0" applyFont="true" applyBorder="true" applyAlignment="true" applyProtection="true">
      <alignment horizontal="center" vertical="center" textRotation="0" wrapText="true" indent="0" shrinkToFit="false"/>
      <protection locked="true" hidden="false"/>
    </xf>
    <xf numFmtId="164" fontId="36" fillId="2" borderId="3" xfId="0" applyFont="true" applyBorder="true" applyAlignment="true" applyProtection="true">
      <alignment horizontal="center" vertical="center" textRotation="0" wrapText="true" indent="0" shrinkToFit="false"/>
      <protection locked="true" hidden="false"/>
    </xf>
    <xf numFmtId="164" fontId="36" fillId="2" borderId="4" xfId="0" applyFont="true" applyBorder="true" applyAlignment="true" applyProtection="true">
      <alignment horizontal="center" vertical="center" textRotation="0" wrapText="true" indent="0" shrinkToFit="false"/>
      <protection locked="true" hidden="false"/>
    </xf>
    <xf numFmtId="164" fontId="36" fillId="2" borderId="5" xfId="0" applyFont="true" applyBorder="true" applyAlignment="true" applyProtection="true">
      <alignment horizontal="center" vertical="center" textRotation="0" wrapText="false" indent="0" shrinkToFit="false"/>
      <protection locked="true" hidden="false"/>
    </xf>
    <xf numFmtId="164" fontId="36" fillId="2" borderId="4" xfId="0" applyFont="true" applyBorder="true" applyAlignment="true" applyProtection="true">
      <alignment horizontal="center" vertical="center" textRotation="0" wrapText="false" indent="0" shrinkToFit="false"/>
      <protection locked="true" hidden="false"/>
    </xf>
    <xf numFmtId="164" fontId="13" fillId="2" borderId="6" xfId="0" applyFont="true" applyBorder="true" applyAlignment="true" applyProtection="true">
      <alignment horizontal="center" vertical="center" textRotation="0" wrapText="true" indent="0" shrinkToFit="false"/>
      <protection locked="true" hidden="false"/>
    </xf>
    <xf numFmtId="164" fontId="10" fillId="19" borderId="4" xfId="0" applyFont="true" applyBorder="true" applyAlignment="true" applyProtection="true">
      <alignment horizontal="center" vertical="center" textRotation="0" wrapText="true" indent="0" shrinkToFit="false"/>
      <protection locked="true" hidden="false"/>
    </xf>
    <xf numFmtId="164" fontId="13" fillId="2" borderId="18" xfId="0" applyFont="true" applyBorder="true" applyAlignment="true" applyProtection="true">
      <alignment horizontal="center" vertical="center" textRotation="0" wrapText="true" indent="0" shrinkToFit="false"/>
      <protection locked="true" hidden="false"/>
    </xf>
    <xf numFmtId="164" fontId="37" fillId="2" borderId="0" xfId="0" applyFont="true" applyBorder="false" applyAlignment="true" applyProtection="true">
      <alignment horizontal="general" vertical="bottom" textRotation="0" wrapText="false" indent="0" shrinkToFit="false"/>
      <protection locked="true" hidden="false"/>
    </xf>
    <xf numFmtId="164" fontId="40" fillId="2" borderId="7" xfId="0" applyFont="true" applyBorder="true" applyAlignment="true" applyProtection="true">
      <alignment horizontal="center" vertical="center" textRotation="0" wrapText="true" indent="0" shrinkToFit="false"/>
      <protection locked="true" hidden="false"/>
    </xf>
    <xf numFmtId="164" fontId="36" fillId="2" borderId="2" xfId="0" applyFont="true" applyBorder="true" applyAlignment="true" applyProtection="true">
      <alignment horizontal="center" vertical="top" textRotation="0" wrapText="true" indent="0" shrinkToFit="false"/>
      <protection locked="true" hidden="false"/>
    </xf>
    <xf numFmtId="164" fontId="36" fillId="2" borderId="6" xfId="0" applyFont="true" applyBorder="true" applyAlignment="true" applyProtection="true">
      <alignment horizontal="center" vertical="top" textRotation="0" wrapText="true" indent="0" shrinkToFit="false"/>
      <protection locked="true" hidden="false"/>
    </xf>
    <xf numFmtId="164" fontId="36" fillId="2" borderId="19" xfId="0" applyFont="true" applyBorder="true" applyAlignment="true" applyProtection="true">
      <alignment horizontal="center" vertical="center" textRotation="0" wrapText="true" indent="0" shrinkToFit="false"/>
      <protection locked="true" hidden="false"/>
    </xf>
    <xf numFmtId="164" fontId="19" fillId="2" borderId="1" xfId="0" applyFont="true" applyBorder="true" applyAlignment="true" applyProtection="true">
      <alignment horizontal="center" vertical="center" textRotation="0" wrapText="true" indent="0" shrinkToFit="false"/>
      <protection locked="true" hidden="false"/>
    </xf>
    <xf numFmtId="164" fontId="11" fillId="0" borderId="27" xfId="0" applyFont="true" applyBorder="true" applyAlignment="true" applyProtection="true">
      <alignment horizontal="center" vertical="center" textRotation="0" wrapText="false" indent="0" shrinkToFit="false"/>
      <protection locked="true" hidden="false"/>
    </xf>
    <xf numFmtId="164" fontId="22" fillId="0" borderId="1" xfId="20" applyFont="true" applyBorder="true" applyAlignment="true" applyProtection="true">
      <alignment horizontal="center" vertical="center" textRotation="0" wrapText="true" indent="0" shrinkToFit="false"/>
      <protection locked="true" hidden="false"/>
    </xf>
    <xf numFmtId="164" fontId="41" fillId="0" borderId="1" xfId="20" applyFont="true" applyBorder="true" applyAlignment="true" applyProtection="true">
      <alignment horizontal="center" vertical="center" textRotation="0" wrapText="true" indent="0" shrinkToFit="false"/>
      <protection locked="true" hidden="false"/>
    </xf>
    <xf numFmtId="165" fontId="12" fillId="0" borderId="1" xfId="0" applyFont="true" applyBorder="true" applyAlignment="true" applyProtection="true">
      <alignment horizontal="left" vertical="center" textRotation="0" wrapText="true" indent="0" shrinkToFit="false"/>
      <protection locked="true" hidden="false"/>
    </xf>
    <xf numFmtId="165" fontId="12" fillId="19" borderId="1" xfId="0" applyFont="true" applyBorder="true" applyAlignment="true" applyProtection="true">
      <alignment horizontal="center" vertical="center" textRotation="0" wrapText="true" indent="0" shrinkToFit="false"/>
      <protection locked="true" hidden="false"/>
    </xf>
    <xf numFmtId="167" fontId="22" fillId="0" borderId="1" xfId="20" applyFont="true" applyBorder="true" applyAlignment="true" applyProtection="true">
      <alignment horizontal="left" vertical="bottom" textRotation="0" wrapText="false" indent="0" shrinkToFit="false"/>
      <protection locked="true" hidden="false"/>
    </xf>
    <xf numFmtId="164" fontId="42" fillId="0" borderId="0" xfId="0" applyFont="true" applyBorder="false" applyAlignment="true" applyProtection="true">
      <alignment horizontal="general" vertical="bottom" textRotation="0" wrapText="true" indent="0" shrinkToFit="false"/>
      <protection locked="true" hidden="false"/>
    </xf>
    <xf numFmtId="166" fontId="44" fillId="0" borderId="1" xfId="0" applyFont="true" applyBorder="true" applyAlignment="true" applyProtection="true">
      <alignment horizontal="left" vertical="center" textRotation="0" wrapText="true" indent="0" shrinkToFit="false"/>
      <protection locked="true" hidden="false"/>
    </xf>
    <xf numFmtId="166" fontId="45" fillId="0" borderId="1" xfId="0" applyFont="true" applyBorder="true" applyAlignment="true" applyProtection="true">
      <alignment horizontal="left" vertical="center" textRotation="0" wrapText="true" indent="0" shrinkToFit="false"/>
      <protection locked="true" hidden="false"/>
    </xf>
    <xf numFmtId="166" fontId="21" fillId="0" borderId="1" xfId="0" applyFont="true" applyBorder="true" applyAlignment="true" applyProtection="true">
      <alignment horizontal="left" vertical="center" textRotation="0" wrapText="true" indent="0" shrinkToFit="false"/>
      <protection locked="true" hidden="false"/>
    </xf>
    <xf numFmtId="164" fontId="46" fillId="0" borderId="1" xfId="20" applyFont="true" applyBorder="true" applyAlignment="true" applyProtection="true">
      <alignment horizontal="left" vertical="center" textRotation="0" wrapText="true" indent="0" shrinkToFit="false"/>
      <protection locked="true" hidden="false"/>
    </xf>
    <xf numFmtId="166" fontId="47" fillId="0" borderId="1" xfId="0" applyFont="true" applyBorder="true" applyAlignment="true" applyProtection="true">
      <alignment horizontal="left" vertical="center" textRotation="0" wrapText="true" indent="0" shrinkToFit="false"/>
      <protection locked="true" hidden="false"/>
    </xf>
    <xf numFmtId="167" fontId="0" fillId="0" borderId="20" xfId="15" applyFont="true" applyBorder="true" applyAlignment="true" applyProtection="true">
      <alignment horizontal="general" vertical="bottom" textRotation="0" wrapText="false" indent="0" shrinkToFit="false"/>
      <protection locked="true" hidden="false"/>
    </xf>
    <xf numFmtId="164" fontId="20" fillId="2" borderId="1" xfId="0" applyFont="true" applyBorder="true" applyAlignment="true" applyProtection="true">
      <alignment horizontal="left" vertical="center" textRotation="0" wrapText="true" indent="0" shrinkToFit="false"/>
      <protection locked="true" hidden="false"/>
    </xf>
    <xf numFmtId="164" fontId="20" fillId="2" borderId="13" xfId="0" applyFont="true" applyBorder="true" applyAlignment="true" applyProtection="true">
      <alignment horizontal="center" vertical="center" textRotation="0" wrapText="true" indent="0" shrinkToFit="false"/>
      <protection locked="true" hidden="false"/>
    </xf>
    <xf numFmtId="164" fontId="11" fillId="2" borderId="0" xfId="0" applyFont="true" applyBorder="false" applyAlignment="true" applyProtection="true">
      <alignment horizontal="left" vertical="bottom" textRotation="0" wrapText="false" indent="0" shrinkToFit="false"/>
      <protection locked="true" hidden="false"/>
    </xf>
    <xf numFmtId="164" fontId="12" fillId="2" borderId="1" xfId="0" applyFont="true" applyBorder="true" applyAlignment="true" applyProtection="true">
      <alignment horizontal="center" vertical="center" textRotation="0" wrapText="true" indent="0" shrinkToFit="false"/>
      <protection locked="true" hidden="false"/>
    </xf>
    <xf numFmtId="164" fontId="23" fillId="2" borderId="1" xfId="0" applyFont="true" applyBorder="true" applyAlignment="true" applyProtection="true">
      <alignment horizontal="left" vertical="center" textRotation="0" wrapText="true" indent="0" shrinkToFit="false"/>
      <protection locked="true" hidden="false"/>
    </xf>
    <xf numFmtId="164" fontId="18" fillId="2" borderId="0" xfId="0" applyFont="true" applyBorder="false" applyAlignment="true" applyProtection="true">
      <alignment horizontal="general" vertical="bottom" textRotation="0" wrapText="false" indent="0" shrinkToFit="false"/>
      <protection locked="true" hidden="false"/>
    </xf>
    <xf numFmtId="164" fontId="12" fillId="2" borderId="0" xfId="0" applyFont="true" applyBorder="true" applyAlignment="true" applyProtection="true">
      <alignment horizontal="right" vertical="bottom" textRotation="0" wrapText="true" indent="0" shrinkToFit="false"/>
      <protection locked="true" hidden="false"/>
    </xf>
    <xf numFmtId="164" fontId="12" fillId="2" borderId="0" xfId="0" applyFont="true" applyBorder="false" applyAlignment="true" applyProtection="true">
      <alignment horizontal="general" vertical="bottom" textRotation="0" wrapText="false" indent="0" shrinkToFit="false"/>
      <protection locked="true" hidden="false"/>
    </xf>
    <xf numFmtId="165" fontId="18" fillId="2" borderId="0" xfId="0" applyFont="true" applyBorder="false" applyAlignment="true" applyProtection="true">
      <alignment horizontal="general" vertical="bottom" textRotation="0" wrapText="false" indent="0" shrinkToFit="false"/>
      <protection locked="true" hidden="false"/>
    </xf>
    <xf numFmtId="164" fontId="48" fillId="0" borderId="17" xfId="0" applyFont="true" applyBorder="true" applyAlignment="true" applyProtection="true">
      <alignment horizontal="left" vertical="center" textRotation="0" wrapText="true" indent="0" shrinkToFit="false"/>
      <protection locked="true" hidden="false"/>
    </xf>
    <xf numFmtId="164" fontId="9" fillId="0" borderId="17" xfId="0" applyFont="true" applyBorder="true" applyAlignment="true" applyProtection="true">
      <alignment horizontal="general" vertical="center" textRotation="0" wrapText="false" indent="0" shrinkToFit="false"/>
      <protection locked="true" hidden="false"/>
    </xf>
    <xf numFmtId="164" fontId="49" fillId="0" borderId="17" xfId="0" applyFont="true" applyBorder="true" applyAlignment="true" applyProtection="true">
      <alignment horizontal="center" vertical="center" textRotation="0" wrapText="false" indent="0" shrinkToFit="false"/>
      <protection locked="true" hidden="false"/>
    </xf>
    <xf numFmtId="164" fontId="48" fillId="0" borderId="17" xfId="0" applyFont="true" applyBorder="true" applyAlignment="true" applyProtection="true">
      <alignment horizontal="left" vertical="center" textRotation="0" wrapText="false" indent="0" shrinkToFit="false"/>
      <protection locked="true" hidden="false"/>
    </xf>
    <xf numFmtId="164" fontId="48" fillId="20" borderId="17" xfId="0" applyFont="true" applyBorder="true" applyAlignment="true" applyProtection="true">
      <alignment horizontal="left" vertical="center" textRotation="0" wrapText="true" indent="0" shrinkToFit="false"/>
      <protection locked="true" hidden="false"/>
    </xf>
    <xf numFmtId="164" fontId="48" fillId="0" borderId="17" xfId="0" applyFont="true" applyBorder="true" applyAlignment="true" applyProtection="true">
      <alignment horizontal="center" vertical="center" textRotation="0" wrapText="false" indent="0" shrinkToFit="false"/>
      <protection locked="true" hidden="false"/>
    </xf>
    <xf numFmtId="164" fontId="11" fillId="20" borderId="12" xfId="0" applyFont="true" applyBorder="true" applyAlignment="true" applyProtection="true">
      <alignment horizontal="center" vertical="center" textRotation="0" wrapText="false" indent="0" shrinkToFit="false"/>
      <protection locked="true" hidden="false"/>
    </xf>
    <xf numFmtId="164" fontId="48" fillId="0" borderId="17" xfId="0" applyFont="true" applyBorder="true" applyAlignment="true" applyProtection="true">
      <alignment horizontal="center" vertical="center" textRotation="0" wrapText="true" indent="0" shrinkToFit="false"/>
      <protection locked="true" hidden="false"/>
    </xf>
    <xf numFmtId="164" fontId="48" fillId="0" borderId="17" xfId="0" applyFont="true" applyBorder="true" applyAlignment="true" applyProtection="true">
      <alignment horizontal="general" vertical="center" textRotation="0" wrapText="false" indent="0" shrinkToFit="false"/>
      <protection locked="true" hidden="false"/>
    </xf>
    <xf numFmtId="164" fontId="48" fillId="0" borderId="17" xfId="0" applyFont="true" applyBorder="true" applyAlignment="true" applyProtection="true">
      <alignment horizontal="general" vertical="center" textRotation="0" wrapText="true" indent="0" shrinkToFit="false"/>
      <protection locked="true" hidden="false"/>
    </xf>
    <xf numFmtId="164" fontId="11" fillId="0" borderId="7" xfId="0" applyFont="true" applyBorder="true" applyAlignment="true" applyProtection="true">
      <alignment horizontal="general" vertical="center" textRotation="0" wrapText="true" indent="0" shrinkToFit="false"/>
      <protection locked="true" hidden="false"/>
    </xf>
    <xf numFmtId="164" fontId="48" fillId="0" borderId="7" xfId="0" applyFont="true" applyBorder="true" applyAlignment="true" applyProtection="true">
      <alignment horizontal="left" vertical="center" textRotation="0" wrapText="true" indent="0" shrinkToFit="false"/>
      <protection locked="true" hidden="false"/>
    </xf>
    <xf numFmtId="165" fontId="20" fillId="0" borderId="13" xfId="0" applyFont="true" applyBorder="true" applyAlignment="true" applyProtection="true">
      <alignment horizontal="center" vertical="center" textRotation="0" wrapText="true" indent="0" shrinkToFit="false"/>
      <protection locked="true" hidden="false"/>
    </xf>
    <xf numFmtId="168" fontId="11" fillId="0" borderId="0" xfId="15" applyFont="true" applyBorder="true" applyAlignment="true" applyProtection="true">
      <alignment horizontal="left" vertical="bottom" textRotation="0" wrapText="false" indent="0" shrinkToFit="false"/>
      <protection locked="true" hidden="false"/>
    </xf>
    <xf numFmtId="168" fontId="11" fillId="0" borderId="0" xfId="0" applyFont="true" applyBorder="false" applyAlignment="true" applyProtection="true">
      <alignment horizontal="left" vertical="bottom" textRotation="0" wrapText="false" indent="0" shrinkToFit="false"/>
      <protection locked="true" hidden="false"/>
    </xf>
    <xf numFmtId="165" fontId="32" fillId="0" borderId="0" xfId="0" applyFont="true" applyBorder="false" applyAlignment="true" applyProtection="true">
      <alignment horizontal="center" vertical="top" textRotation="0" wrapText="true" indent="0" shrinkToFit="false"/>
      <protection locked="true" hidden="false"/>
    </xf>
    <xf numFmtId="168" fontId="31" fillId="0" borderId="0" xfId="15" applyFont="true" applyBorder="tru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center" vertical="bottom" textRotation="0" wrapText="false" indent="0" shrinkToFit="false"/>
      <protection locked="true" hidden="false"/>
    </xf>
    <xf numFmtId="164" fontId="0" fillId="0" borderId="5" xfId="0" applyFont="false" applyBorder="true" applyAlignment="true" applyProtection="true">
      <alignment horizontal="center" vertical="bottom" textRotation="0" wrapText="false" indent="0" shrinkToFit="false"/>
      <protection locked="true" hidden="false"/>
    </xf>
    <xf numFmtId="164" fontId="0" fillId="0" borderId="28" xfId="0" applyFont="false" applyBorder="true" applyAlignment="true" applyProtection="true">
      <alignment horizontal="general" vertical="bottom" textRotation="0" wrapText="false" indent="0" shrinkToFit="false"/>
      <protection locked="true" hidden="false"/>
    </xf>
    <xf numFmtId="164" fontId="28" fillId="0" borderId="28" xfId="0" applyFont="true" applyBorder="true" applyAlignment="true" applyProtection="true">
      <alignment horizontal="center" vertical="bottom" textRotation="0" wrapText="false" indent="0" shrinkToFit="false"/>
      <protection locked="true" hidden="false"/>
    </xf>
    <xf numFmtId="164" fontId="28" fillId="0" borderId="4" xfId="0" applyFont="true" applyBorder="true" applyAlignment="true" applyProtection="true">
      <alignment horizontal="center" vertical="bottom" textRotation="0" wrapText="true" indent="0" shrinkToFit="false"/>
      <protection locked="true" hidden="false"/>
    </xf>
    <xf numFmtId="164" fontId="28" fillId="0" borderId="6" xfId="0" applyFont="true" applyBorder="true" applyAlignment="true" applyProtection="true">
      <alignment horizontal="center" vertical="bottom" textRotation="0" wrapText="true" indent="0" shrinkToFit="false"/>
      <protection locked="true" hidden="false"/>
    </xf>
    <xf numFmtId="164" fontId="20" fillId="0" borderId="20" xfId="0" applyFont="true" applyBorder="true" applyAlignment="true" applyProtection="true">
      <alignment horizontal="left" vertical="center" textRotation="0" wrapText="true" indent="0" shrinkToFit="false"/>
      <protection locked="true" hidden="false"/>
    </xf>
    <xf numFmtId="164" fontId="20" fillId="0" borderId="25" xfId="0" applyFont="true" applyBorder="true" applyAlignment="true" applyProtection="true">
      <alignment horizontal="center" vertical="center" textRotation="0" wrapText="true" indent="0" shrinkToFit="false"/>
      <protection locked="true" hidden="false"/>
    </xf>
    <xf numFmtId="165" fontId="20" fillId="0" borderId="25" xfId="0" applyFont="true" applyBorder="true" applyAlignment="true" applyProtection="true">
      <alignment horizontal="center" vertical="center" textRotation="0" wrapText="true" indent="0" shrinkToFit="false"/>
      <protection locked="true" hidden="false"/>
    </xf>
    <xf numFmtId="170" fontId="0" fillId="0" borderId="1" xfId="0" applyFont="false" applyBorder="true" applyAlignment="true" applyProtection="true">
      <alignment horizontal="center" vertical="bottom" textRotation="0" wrapText="false" indent="0" shrinkToFit="false"/>
      <protection locked="true" hidden="false"/>
    </xf>
    <xf numFmtId="170" fontId="0" fillId="0" borderId="20" xfId="0" applyFont="false" applyBorder="true" applyAlignment="true" applyProtection="true">
      <alignment horizontal="center" vertical="bottom" textRotation="0" wrapText="false" indent="0" shrinkToFit="false"/>
      <protection locked="true" hidden="false"/>
    </xf>
    <xf numFmtId="170" fontId="0" fillId="21" borderId="0" xfId="0" applyFont="false" applyBorder="false" applyAlignment="true" applyProtection="true">
      <alignment horizontal="center" vertical="bottom" textRotation="0" wrapText="false" indent="0" shrinkToFit="false"/>
      <protection locked="true" hidden="false"/>
    </xf>
    <xf numFmtId="165" fontId="20" fillId="2" borderId="13" xfId="0" applyFont="true" applyBorder="true" applyAlignment="true" applyProtection="true">
      <alignment horizontal="center" vertical="center" textRotation="0" wrapText="true" indent="0" shrinkToFit="false"/>
      <protection locked="true" hidden="false"/>
    </xf>
    <xf numFmtId="170" fontId="50" fillId="0" borderId="0" xfId="0" applyFont="true" applyBorder="false" applyAlignment="true" applyProtection="true">
      <alignment horizontal="center" vertical="bottom" textRotation="0" wrapText="false" indent="0" shrinkToFit="false"/>
      <protection locked="true" hidden="false"/>
    </xf>
    <xf numFmtId="170" fontId="50" fillId="21" borderId="0" xfId="0" applyFont="true" applyBorder="false" applyAlignment="true" applyProtection="true">
      <alignment horizontal="center" vertical="bottom" textRotation="0" wrapText="false" indent="0" shrinkToFit="false"/>
      <protection locked="true" hidden="false"/>
    </xf>
    <xf numFmtId="170" fontId="0" fillId="0" borderId="0" xfId="0" applyFont="false" applyBorder="false" applyAlignment="true" applyProtection="true">
      <alignment horizontal="center" vertical="bottom" textRotation="0" wrapText="false" indent="0" shrinkToFit="false"/>
      <protection locked="true" hidden="false"/>
    </xf>
  </cellXfs>
  <cellStyles count="39">
    <cellStyle name="Normal" xfId="0" builtinId="0"/>
    <cellStyle name="Comma" xfId="15" builtinId="3"/>
    <cellStyle name="Comma [0]" xfId="16" builtinId="6"/>
    <cellStyle name="Currency" xfId="17" builtinId="4"/>
    <cellStyle name="Currency [0]" xfId="18" builtinId="7"/>
    <cellStyle name="Percent" xfId="19" builtinId="5"/>
    <cellStyle name="Акт" xfId="21"/>
    <cellStyle name="АктМТСН" xfId="22"/>
    <cellStyle name="ВедРесурсов" xfId="23"/>
    <cellStyle name="ВедРесурсовАкт" xfId="24"/>
    <cellStyle name="Индексы" xfId="25"/>
    <cellStyle name="Итоги" xfId="26"/>
    <cellStyle name="ИтогоАктБИМ" xfId="27"/>
    <cellStyle name="ИтогоАктБазЦ" xfId="28"/>
    <cellStyle name="ИтогоАктРесМет" xfId="29"/>
    <cellStyle name="ИтогоБИМ" xfId="30"/>
    <cellStyle name="ИтогоБазЦ" xfId="31"/>
    <cellStyle name="ИтогоРесМет" xfId="32"/>
    <cellStyle name="ЛокСмМТСН" xfId="33"/>
    <cellStyle name="ЛокСмета" xfId="34"/>
    <cellStyle name="М29" xfId="35"/>
    <cellStyle name="ОбСмета" xfId="36"/>
    <cellStyle name="Обычный 104" xfId="37"/>
    <cellStyle name="Обычный 2" xfId="38"/>
    <cellStyle name="Обычный 2 2 2" xfId="39"/>
    <cellStyle name="Обычный 2 2 2 2" xfId="40"/>
    <cellStyle name="Обычный 3" xfId="41"/>
    <cellStyle name="Обычный 4 3 5" xfId="42"/>
    <cellStyle name="Параметр" xfId="43"/>
    <cellStyle name="ПеременныеСметы" xfId="44"/>
    <cellStyle name="РесСмета" xfId="45"/>
    <cellStyle name="СводВедРес" xfId="46"/>
    <cellStyle name="СводРасч" xfId="47"/>
    <cellStyle name="СводкаСтоимРаб" xfId="48"/>
    <cellStyle name="Титул" xfId="49"/>
    <cellStyle name="Хвост" xfId="50"/>
    <cellStyle name="Ценник" xfId="51"/>
    <cellStyle name="Экспертиза" xfId="52"/>
    <cellStyle name="*unknown*" xfId="20" builtinId="8"/>
  </cellStyles>
  <dxfs count="62">
    <dxf>
      <fill>
        <patternFill patternType="solid">
          <fgColor rgb="FFFFFFFF"/>
        </patternFill>
      </fill>
    </dxf>
    <dxf>
      <fill>
        <patternFill patternType="solid">
          <fgColor rgb="00FFFFFF"/>
        </patternFill>
      </fill>
    </dxf>
    <dxf>
      <fill>
        <patternFill patternType="solid">
          <fgColor rgb="FF99FFCC"/>
        </patternFill>
      </fill>
    </dxf>
    <dxf>
      <fill>
        <patternFill patternType="solid">
          <fgColor rgb="FFCCCCFF"/>
        </patternFill>
      </fill>
    </dxf>
    <dxf>
      <fill>
        <patternFill patternType="solid">
          <fgColor rgb="FFCCECFF"/>
        </patternFill>
      </fill>
    </dxf>
    <dxf>
      <fill>
        <patternFill patternType="solid">
          <fgColor rgb="FFCCFFFF"/>
        </patternFill>
      </fill>
    </dxf>
    <dxf>
      <fill>
        <patternFill patternType="solid">
          <fgColor rgb="FFFFFF99"/>
        </patternFill>
      </fill>
    </dxf>
    <dxf>
      <fill>
        <patternFill patternType="solid">
          <fgColor rgb="FFFFFFCC"/>
        </patternFill>
      </fill>
    </dxf>
    <dxf>
      <fill>
        <patternFill patternType="solid">
          <fgColor rgb="FF000000"/>
          <bgColor rgb="FFFFFFFF"/>
        </patternFill>
      </fill>
    </dxf>
    <dxf>
      <fill>
        <patternFill patternType="solid">
          <fgColor rgb="FFCCFFCC"/>
        </patternFill>
      </fill>
    </dxf>
    <dxf>
      <fill>
        <patternFill patternType="solid">
          <fgColor rgb="FF0000FF"/>
        </patternFill>
      </fill>
    </dxf>
    <dxf>
      <fill>
        <patternFill patternType="solid">
          <fgColor rgb="FF0563C1"/>
        </patternFill>
      </fill>
    </dxf>
    <dxf>
      <fill>
        <patternFill patternType="solid">
          <fgColor rgb="FF9DC3E6"/>
        </patternFill>
      </fill>
    </dxf>
    <dxf>
      <font>
        <name val="Calibri"/>
        <charset val="1"/>
        <family val="2"/>
        <color rgb="FF000000"/>
        <sz val="11"/>
      </font>
      <fill>
        <patternFill>
          <bgColor rgb="FFFFC000"/>
        </patternFill>
      </fill>
    </dxf>
    <dxf>
      <font>
        <name val="Calibri"/>
        <charset val="1"/>
        <family val="2"/>
        <color rgb="FF000000"/>
        <sz val="11"/>
      </font>
      <fill>
        <patternFill>
          <bgColor rgb="FFFF0000"/>
        </patternFill>
      </fill>
    </dxf>
    <dxf>
      <font>
        <name val="Calibri"/>
        <charset val="1"/>
        <family val="2"/>
        <color rgb="FF000000"/>
        <sz val="11"/>
      </font>
      <fill>
        <patternFill>
          <bgColor rgb="FFFF0000"/>
        </patternFill>
      </fill>
    </dxf>
    <dxf>
      <fill>
        <patternFill patternType="solid">
          <fgColor rgb="FFE2F0D9"/>
        </patternFill>
      </fill>
    </dxf>
    <dxf>
      <fill>
        <patternFill patternType="solid">
          <fgColor rgb="FFFF0000"/>
        </patternFill>
      </fill>
    </dxf>
    <dxf>
      <font>
        <name val="Calibri"/>
        <charset val="1"/>
        <family val="2"/>
        <color rgb="FF000000"/>
        <sz val="11"/>
      </font>
      <fill>
        <patternFill>
          <bgColor rgb="FF99FF99"/>
        </patternFill>
      </fill>
    </dxf>
    <dxf>
      <font>
        <name val="Calibri"/>
        <charset val="1"/>
        <family val="2"/>
        <color rgb="FF000000"/>
        <sz val="11"/>
      </font>
      <fill>
        <patternFill>
          <bgColor rgb="FFFFFF99"/>
        </patternFill>
      </fill>
    </dxf>
    <dxf>
      <font>
        <name val="Calibri"/>
        <charset val="1"/>
        <family val="2"/>
        <color rgb="FF9C0006"/>
        <sz val="11"/>
      </font>
      <fill>
        <patternFill>
          <bgColor rgb="FFFFC7CE"/>
        </patternFill>
      </fill>
    </dxf>
    <dxf>
      <font>
        <name val="Calibri"/>
        <charset val="1"/>
        <family val="2"/>
        <color rgb="FF000000"/>
        <sz val="11"/>
      </font>
      <fill>
        <patternFill>
          <bgColor rgb="FF99FF99"/>
        </patternFill>
      </fill>
    </dxf>
    <dxf>
      <font>
        <name val="Calibri"/>
        <charset val="1"/>
        <family val="2"/>
        <color rgb="FF000000"/>
        <sz val="11"/>
      </font>
      <fill>
        <patternFill>
          <bgColor rgb="FFFFFF99"/>
        </patternFill>
      </fill>
    </dxf>
    <dxf>
      <font>
        <name val="Calibri"/>
        <charset val="1"/>
        <family val="2"/>
        <color rgb="FF9C0006"/>
        <sz val="11"/>
      </font>
      <fill>
        <patternFill>
          <bgColor rgb="FFFFC7CE"/>
        </patternFill>
      </fill>
    </dxf>
    <dxf>
      <font>
        <name val="Calibri"/>
        <charset val="1"/>
        <family val="2"/>
        <color rgb="FF000000"/>
        <sz val="11"/>
      </font>
      <fill>
        <patternFill>
          <bgColor rgb="FFFFC000"/>
        </patternFill>
      </fill>
    </dxf>
    <dxf>
      <font>
        <name val="Calibri"/>
        <charset val="1"/>
        <family val="2"/>
        <color rgb="FF000000"/>
        <sz val="11"/>
      </font>
      <fill>
        <patternFill>
          <bgColor rgb="FFFF0000"/>
        </patternFill>
      </fill>
    </dxf>
    <dxf>
      <font>
        <name val="Calibri"/>
        <charset val="1"/>
        <family val="2"/>
        <color rgb="FF000000"/>
        <sz val="11"/>
      </font>
      <fill>
        <patternFill>
          <bgColor rgb="FFFF0000"/>
        </patternFill>
      </fill>
    </dxf>
    <dxf>
      <fill>
        <patternFill patternType="solid">
          <fgColor rgb="FFFFCCCC"/>
        </patternFill>
      </fill>
    </dxf>
    <dxf>
      <fill>
        <patternFill patternType="solid">
          <fgColor rgb="FFFFC000"/>
        </patternFill>
      </fill>
    </dxf>
    <dxf>
      <fill>
        <patternFill patternType="solid">
          <fgColor rgb="FF99FF99"/>
        </patternFill>
      </fill>
    </dxf>
    <dxf>
      <font>
        <name val="Calibri"/>
        <charset val="1"/>
        <family val="2"/>
        <color rgb="FF000000"/>
        <sz val="11"/>
      </font>
      <fill>
        <patternFill>
          <bgColor rgb="FF99FF99"/>
        </patternFill>
      </fill>
    </dxf>
    <dxf>
      <font>
        <name val="Calibri"/>
        <charset val="1"/>
        <family val="2"/>
        <color rgb="FF000000"/>
        <sz val="11"/>
      </font>
      <fill>
        <patternFill>
          <bgColor rgb="FFFFFF99"/>
        </patternFill>
      </fill>
    </dxf>
    <dxf>
      <font>
        <name val="Calibri"/>
        <charset val="1"/>
        <family val="2"/>
        <color rgb="FF9C0006"/>
        <sz val="11"/>
      </font>
      <fill>
        <patternFill>
          <bgColor rgb="FFFFC7CE"/>
        </patternFill>
      </fill>
    </dxf>
    <dxf>
      <font>
        <name val="Calibri"/>
        <charset val="1"/>
        <family val="2"/>
        <color rgb="FF000000"/>
        <sz val="11"/>
      </font>
      <fill>
        <patternFill>
          <bgColor rgb="FFFFC000"/>
        </patternFill>
      </fill>
    </dxf>
    <dxf>
      <font>
        <name val="Calibri"/>
        <charset val="1"/>
        <family val="2"/>
        <color rgb="FF000000"/>
        <sz val="11"/>
      </font>
      <fill>
        <patternFill>
          <bgColor rgb="FFFF0000"/>
        </patternFill>
      </fill>
    </dxf>
    <dxf>
      <font>
        <name val="Calibri"/>
        <charset val="1"/>
        <family val="2"/>
        <color rgb="FF000000"/>
        <sz val="11"/>
      </font>
      <fill>
        <patternFill>
          <bgColor rgb="FFFF0000"/>
        </patternFill>
      </fill>
    </dxf>
    <dxf>
      <font>
        <name val="Calibri"/>
        <charset val="1"/>
        <family val="2"/>
        <color rgb="FF000000"/>
        <sz val="11"/>
      </font>
      <fill>
        <patternFill>
          <bgColor rgb="FFFF0000"/>
        </patternFill>
      </fill>
    </dxf>
    <dxf>
      <font>
        <name val="Calibri"/>
        <charset val="1"/>
        <family val="2"/>
        <color rgb="FF000000"/>
        <sz val="11"/>
      </font>
      <fill>
        <patternFill>
          <bgColor rgb="FF99FF99"/>
        </patternFill>
      </fill>
    </dxf>
    <dxf>
      <font>
        <name val="Calibri"/>
        <charset val="1"/>
        <family val="2"/>
        <color rgb="FF000000"/>
        <sz val="11"/>
      </font>
      <fill>
        <patternFill>
          <bgColor rgb="FFFFFF99"/>
        </patternFill>
      </fill>
    </dxf>
    <dxf>
      <font>
        <name val="Calibri"/>
        <charset val="1"/>
        <family val="2"/>
        <color rgb="FF9C0006"/>
        <sz val="11"/>
      </font>
      <fill>
        <patternFill>
          <bgColor rgb="FFFFC7CE"/>
        </patternFill>
      </fill>
    </dxf>
    <dxf>
      <font>
        <name val="Calibri"/>
        <charset val="1"/>
        <family val="2"/>
        <color rgb="FF000000"/>
        <sz val="11"/>
      </font>
      <fill>
        <patternFill>
          <bgColor rgb="FFFFC000"/>
        </patternFill>
      </fill>
    </dxf>
    <dxf>
      <font>
        <name val="Calibri"/>
        <charset val="1"/>
        <family val="2"/>
        <color rgb="FF000000"/>
        <sz val="11"/>
      </font>
      <fill>
        <patternFill>
          <bgColor rgb="FFFF0000"/>
        </patternFill>
      </fill>
    </dxf>
    <dxf>
      <font>
        <name val="Calibri"/>
        <charset val="1"/>
        <family val="2"/>
        <color rgb="FF000000"/>
        <sz val="11"/>
      </font>
      <fill>
        <patternFill>
          <bgColor rgb="FFFF0000"/>
        </patternFill>
      </fill>
    </dxf>
    <dxf>
      <fill>
        <patternFill patternType="solid">
          <fgColor rgb="FFC9211E"/>
        </patternFill>
      </fill>
    </dxf>
    <dxf>
      <fill>
        <patternFill patternType="solid">
          <fgColor rgb="FFFFFFA6"/>
        </patternFill>
      </fill>
    </dxf>
    <dxf>
      <font>
        <name val="Calibri"/>
        <charset val="1"/>
        <family val="2"/>
        <color rgb="FF000000"/>
        <sz val="11"/>
      </font>
      <fill>
        <patternFill>
          <bgColor rgb="FFFF0000"/>
        </patternFill>
      </fill>
    </dxf>
    <dxf>
      <font>
        <name val="Calibri"/>
        <charset val="1"/>
        <family val="2"/>
        <color rgb="FF000000"/>
        <sz val="11"/>
      </font>
      <fill>
        <patternFill>
          <bgColor rgb="FFFF0000"/>
        </patternFill>
      </fill>
    </dxf>
    <dxf>
      <fill>
        <patternFill patternType="solid">
          <fgColor rgb="FFFFFF00"/>
        </patternFill>
      </fill>
    </dxf>
    <dxf>
      <fill>
        <patternFill patternType="solid">
          <fgColor rgb="FFC5E0B4"/>
        </patternFill>
      </fill>
    </dxf>
    <dxf>
      <fill>
        <patternFill patternType="solid">
          <fgColor rgb="FFF2F2F2"/>
        </patternFill>
      </fill>
    </dxf>
    <dxf>
      <fill>
        <patternFill patternType="solid">
          <fgColor rgb="FFFFC7CE"/>
        </patternFill>
      </fill>
    </dxf>
    <dxf>
      <fill>
        <patternFill patternType="solid">
          <fgColor rgb="FF9C0006"/>
        </patternFill>
      </fill>
    </dxf>
    <dxf>
      <fill>
        <patternFill patternType="solid">
          <fgColor rgb="FFE7E6E6"/>
        </patternFill>
      </fill>
    </dxf>
    <dxf>
      <font>
        <name val="Calibri"/>
        <charset val="1"/>
        <family val="2"/>
        <color rgb="FF000000"/>
        <sz val="11"/>
      </font>
      <fill>
        <patternFill>
          <bgColor rgb="FF99FF99"/>
        </patternFill>
      </fill>
    </dxf>
    <dxf>
      <font>
        <name val="Calibri"/>
        <charset val="1"/>
        <family val="2"/>
        <color rgb="FF000000"/>
        <sz val="11"/>
      </font>
      <fill>
        <patternFill>
          <bgColor rgb="FFFFFF99"/>
        </patternFill>
      </fill>
    </dxf>
    <dxf>
      <font>
        <name val="Calibri"/>
        <charset val="1"/>
        <family val="2"/>
        <color rgb="FF9C0006"/>
        <sz val="11"/>
      </font>
      <fill>
        <patternFill>
          <bgColor rgb="FFFFC7CE"/>
        </patternFill>
      </fill>
    </dxf>
    <dxf>
      <font>
        <name val="Calibri"/>
        <charset val="1"/>
        <family val="2"/>
        <color rgb="FF000000"/>
        <sz val="11"/>
      </font>
      <fill>
        <patternFill>
          <bgColor rgb="FF99FF99"/>
        </patternFill>
      </fill>
    </dxf>
    <dxf>
      <font>
        <name val="Calibri"/>
        <charset val="1"/>
        <family val="2"/>
        <color rgb="FF000000"/>
        <sz val="11"/>
      </font>
      <fill>
        <patternFill>
          <bgColor rgb="FFFFFF99"/>
        </patternFill>
      </fill>
    </dxf>
    <dxf>
      <font>
        <name val="Calibri"/>
        <charset val="1"/>
        <family val="2"/>
        <color rgb="FF9C0006"/>
        <sz val="11"/>
      </font>
      <fill>
        <patternFill>
          <bgColor rgb="FFFFC7CE"/>
        </patternFill>
      </fill>
    </dxf>
    <dxf>
      <font>
        <name val="Calibri"/>
        <charset val="1"/>
        <family val="2"/>
        <color rgb="FF000000"/>
        <sz val="11"/>
      </font>
      <fill>
        <patternFill>
          <bgColor rgb="FFFFC000"/>
        </patternFill>
      </fill>
    </dxf>
    <dxf>
      <font>
        <name val="Calibri"/>
        <charset val="1"/>
        <family val="2"/>
        <color rgb="FF000000"/>
        <sz val="11"/>
      </font>
      <fill>
        <patternFill>
          <bgColor rgb="FFFF0000"/>
        </patternFill>
      </fill>
    </dxf>
    <dxf>
      <font>
        <name val="Calibri"/>
        <charset val="1"/>
        <family val="2"/>
        <color rgb="FF000000"/>
        <sz val="11"/>
      </font>
      <fill>
        <patternFill>
          <bgColor rgb="FFFF000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5E0B4"/>
      <rgbColor rgb="FFF2F2F2"/>
      <rgbColor rgb="FFE2F0D9"/>
      <rgbColor rgb="FF993366"/>
      <rgbColor rgb="FFFFFFCC"/>
      <rgbColor rgb="FFCCFFFF"/>
      <rgbColor rgb="FF660066"/>
      <rgbColor rgb="FFFF7C80"/>
      <rgbColor rgb="FF0563C1"/>
      <rgbColor rgb="FFCCCCFF"/>
      <rgbColor rgb="FF000080"/>
      <rgbColor rgb="FFFF00FF"/>
      <rgbColor rgb="FFFFFFA6"/>
      <rgbColor rgb="FF00FFFF"/>
      <rgbColor rgb="FF800080"/>
      <rgbColor rgb="FF800000"/>
      <rgbColor rgb="FF008080"/>
      <rgbColor rgb="FF0000FF"/>
      <rgbColor rgb="FF00CCFF"/>
      <rgbColor rgb="FFCCECFF"/>
      <rgbColor rgb="FFCCFFCC"/>
      <rgbColor rgb="FFFFFF99"/>
      <rgbColor rgb="FF9DC3E6"/>
      <rgbColor rgb="FFFFC7CE"/>
      <rgbColor rgb="FFE7E6E6"/>
      <rgbColor rgb="FFFFCCCC"/>
      <rgbColor rgb="FF3366FF"/>
      <rgbColor rgb="FF99FFCC"/>
      <rgbColor rgb="FF92D050"/>
      <rgbColor rgb="FFFFC000"/>
      <rgbColor rgb="FFCCFF99"/>
      <rgbColor rgb="FFFF6600"/>
      <rgbColor rgb="FF666699"/>
      <rgbColor rgb="FF99FF99"/>
      <rgbColor rgb="FF003366"/>
      <rgbColor rgb="FF00B050"/>
      <rgbColor rgb="FF003300"/>
      <rgbColor rgb="FF333300"/>
      <rgbColor rgb="FFC9211E"/>
      <rgbColor rgb="FF993366"/>
      <rgbColor rgb="FF333399"/>
      <rgbColor rgb="FF222A3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file>

<file path=xl/drawings/drawing6.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name="Office 2013 - 2022 Theme">
  <a:themeElements>
    <a:clrScheme name="Office 2013 - 2022 Them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a:ea typeface=""/>
        <a:cs typeface=""/>
      </a:majorFont>
      <a:minorFont>
        <a:latin typeface="Calibri" panose="020F0502020204030204" pitchFamily="0"/>
        <a:ea typeface=""/>
        <a:cs typeface=""/>
      </a:minorFont>
    </a:fontScheme>
    <a:fmtScheme name="Office 2013 - 2022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www.magazin-krasok.com/polirovka/autokosmetika/motorhim/11abr-abro.html" TargetMode="External"/><Relationship Id="rId3" Type="http://schemas.openxmlformats.org/officeDocument/2006/relationships/hyperlink" Target="https://avsila.ru/catalog/masla-avtokosmetika-avtokhimiya/germetiki/germetik-abro-silikonovyy-krasnyy-85-gr-original-11ab-r/?ysclid=lnna30tmkz989350706" TargetMode="External"/><Relationship Id="rId4" Type="http://schemas.openxmlformats.org/officeDocument/2006/relationships/hyperlink" Target="https://www.avtoall.ru/germetik_krasnyiy_silikonovyiy_vysokotemperaturnyiy_85g_abro-481831/?ysclid=lnna2yqqvs230393224" TargetMode="External"/><Relationship Id="rId5" Type="http://schemas.openxmlformats.org/officeDocument/2006/relationships/hyperlink" Target="https://novorossiysk.vseinstrumenti.ru/product/grunt-emal-po-rzhavchine-hardmax-korroed-ral-7040-okonnyj-seryj-banka-1-9-kg-1-sht-4690417071739-1853434/" TargetMode="External"/><Relationship Id="rId6" Type="http://schemas.openxmlformats.org/officeDocument/2006/relationships/hyperlink" Target="https://www.chipdip.ru/product0/8018241711?ysclid=lnncntmipn274156882" TargetMode="External"/><Relationship Id="rId7" Type="http://schemas.openxmlformats.org/officeDocument/2006/relationships/hyperlink" Target="https://avtomaster66.ru/catalog/grunty_1/grunt_emal_mister_hammer_hardmax_korroed_ral_7040_okonnyy_seryy_po_rzhavchine_1l_0_9kg_kvil/" TargetMode="External"/><Relationship Id="rId8" Type="http://schemas.openxmlformats.org/officeDocument/2006/relationships/hyperlink" Target="https://avtomaster66.ru/catalog/grunty_1/grunt_emal_mister_hammer_hardmax_korroed_ral_5015_goluboy_po_rzhavchine_1l_0_9kg_kvil_/" TargetMode="External"/><Relationship Id="rId9" Type="http://schemas.openxmlformats.org/officeDocument/2006/relationships/hyperlink" Target="https://www.chipdip.ru/product0/8008857921" TargetMode="External"/><Relationship Id="rId10" Type="http://schemas.openxmlformats.org/officeDocument/2006/relationships/hyperlink" Target="https://novorossiysk.vseinstrumenti.ru/product/grunt-emal-po-rzhavchine-hardmax-korroed-ral-5015-goluboj-banka-0-9-kg-1-sht-4690417077977-1853240/" TargetMode="External"/><Relationship Id="rId11" Type="http://schemas.openxmlformats.org/officeDocument/2006/relationships/hyperlink" Target="https://www.chipdip.ru/product0/8018241708?ysclid=lnnc3szz4c293021830" TargetMode="External"/><Relationship Id="rId12" Type="http://schemas.openxmlformats.org/officeDocument/2006/relationships/hyperlink" Target="https://avtomaster66.ru/catalog/grunty_1/grunt_emal_mister_hammer_hardmax_korroed_ral_3011_krasno_korichnevaya_po_rzhavchine_1l_0_9kg_kvil/?ysclid=lnnc6qp3ku546632107" TargetMode="External"/><Relationship Id="rId13" Type="http://schemas.openxmlformats.org/officeDocument/2006/relationships/hyperlink" Target="https://novorossiysk.vseinstrumenti.ru/product/grunt-emal-po-rzhavchine-hardmax-korroed-ral-3011-krasno-korichnevyj-banka-0-9-kg-1-sht-4690417071241-1853225/" TargetMode="External"/><Relationship Id="rId14" Type="http://schemas.openxmlformats.org/officeDocument/2006/relationships/hyperlink" Target="https://antisplash.ru/koltso-uprugoe-muvp-k3-35kh18kh9kh4-5" TargetMode="External"/><Relationship Id="rId15" Type="http://schemas.openxmlformats.org/officeDocument/2006/relationships/hyperlink" Target="https://aquacentr18.ru/catalog/zapornaya_armatura/kran_sharovyy_du15_gg_babochka_pro_aqua/" TargetMode="External"/><Relationship Id="rId16" Type="http://schemas.openxmlformats.org/officeDocument/2006/relationships/hyperlink" Target="https://stmgroup.ru/goods/kran-sarovyj-vn-vn-12-bab-pro-aqua-fwb63-f15-f15x?ysclid=lnn0hvtj5u790161172" TargetMode="External"/><Relationship Id="rId17" Type="http://schemas.openxmlformats.org/officeDocument/2006/relationships/hyperlink" Target="https://www.etm.ru/cat/nn/6219190?ysclid=lnn0i717kf57925310&amp;city=77" TargetMode="External"/><Relationship Id="rId18" Type="http://schemas.openxmlformats.org/officeDocument/2006/relationships/hyperlink" Target="https://www.etm.ru/cat/nn/2386322?ysclid=lnn17vsbvg856756019&amp;city=77" TargetMode="External"/><Relationship Id="rId19" Type="http://schemas.openxmlformats.org/officeDocument/2006/relationships/hyperlink" Target="https://novorossiysk.vseinstrumenti.ru/product/sharovoj-polnoprohodnoj-kran-pro-aqua-v-v-ruchka-rychag-1-fwl51-f25-f25x-978114/?ysclid=lnn119nu9u716721344" TargetMode="External"/><Relationship Id="rId20" Type="http://schemas.openxmlformats.org/officeDocument/2006/relationships/hyperlink" Target="https://www.teremonline.ru/catalog/inzhenernaya-santekhnika/zapornoreguliruyushchaya-armatura/1673_krany-sharovye/pro-aqua-fwl51f25f25x-pro-aqua-d-1-kran-sharovoy-polnoprokhodnoy-ruchkarychag-vv/?ysclid=lnn11fl0aw223348086" TargetMode="External"/><Relationship Id="rId21" Type="http://schemas.openxmlformats.org/officeDocument/2006/relationships/hyperlink" Target="https://www.proaqua.pro/catalog/armatura/sharovye-krany/sharovye-krany-spetsialnogo-naznacheniya/kran-uglovoy-s-160-patrubkom-dlya-shlanga-ruchka-rychag39/?ysclid=lnn1iukr2j945232635" TargetMode="External"/><Relationship Id="rId22" Type="http://schemas.openxmlformats.org/officeDocument/2006/relationships/hyperlink" Target="https://www.etm.ru/cat/nn/7406373?ysclid=lnn1j0vvah650562446&amp;city=77" TargetMode="External"/><Relationship Id="rId23" Type="http://schemas.openxmlformats.org/officeDocument/2006/relationships/hyperlink" Target="https://www.teremonline.ru/catalog/inzhenernaya-santekhnika/zapornoreguliruyushchaya-armatura/1673_krany-sharovye/pro-aqua-ewl55m15x-pro-aqua-d-12-kran-uglovoy-s-patrubkom-dlya-shlanga-ruchkarychag-n/?ysclid=lnn1ixv7ug729964205" TargetMode="External"/><Relationship Id="rId24" Type="http://schemas.openxmlformats.org/officeDocument/2006/relationships/hyperlink" Target="https://www.proaqua.pro/catalog/armatura/sharovye-krany/sharovye-krany-spetsialnogo-naznacheniya/kran-uglovoy-s-160-patrubkom-dlya-shlanga-ruchka-rychag39/?ysclid=lnn1iukr2j945232635" TargetMode="External"/><Relationship Id="rId25" Type="http://schemas.openxmlformats.org/officeDocument/2006/relationships/hyperlink" Target="https://www.etm.ru/cat/nn/6817682" TargetMode="External"/><Relationship Id="rId26" Type="http://schemas.openxmlformats.org/officeDocument/2006/relationships/hyperlink" Target="https://www.teremonline.ru/catalog/inzhenernaya-santekhnika/zapornoreguliruyushchaya-armatura/1673_krany-sharovye/pro-aqua-ewl55m20x-pro-aqua-d-34-kran-uglovoy-s-patrubkom-dlya-shlanga-ruchkarychag-n/" TargetMode="External"/><Relationship Id="rId27" Type="http://schemas.openxmlformats.org/officeDocument/2006/relationships/hyperlink" Target="https://ru.lukoil-shop.com/catalog/legkovye_avtomobili/motornye_masla/maslo_motornoe_lukoyl_super_15w_40_sg_cd/?ysclid=lozhj2wyln789992910" TargetMode="External"/><Relationship Id="rId28" Type="http://schemas.openxmlformats.org/officeDocument/2006/relationships/hyperlink" Target="https://www.vseinstrumenti.ru/product/motornoe-maslo-lukojl-avangard-sae-15w-40-api-cf-4-sg-5-l-19309-4825129/" TargetMode="External"/><Relationship Id="rId29" Type="http://schemas.openxmlformats.org/officeDocument/2006/relationships/hyperlink" Target="https://baza.drom.ru/vladivostok/chemistry/motoroil/lukojl-avangard-ultra-m3-sae-15w40-api-ci-4-sl-105001880.html" TargetMode="External"/><Relationship Id="rId30" Type="http://schemas.openxmlformats.org/officeDocument/2006/relationships/hyperlink" Target="https://vodaiteplo-online.ru/catalog/vodonagrevatel_thermex_drift_10_o/" TargetMode="External"/><Relationship Id="rId31" Type="http://schemas.openxmlformats.org/officeDocument/2006/relationships/hyperlink" Target="https://stardive.ru/shop/detailed_layout/id/1093" TargetMode="External"/><Relationship Id="rId32" Type="http://schemas.openxmlformats.org/officeDocument/2006/relationships/hyperlink" Target="https://www.etm.ru/cat/nn/7034263" TargetMode="External"/><Relationship Id="rId33" Type="http://schemas.openxmlformats.org/officeDocument/2006/relationships/hyperlink" Target="https://www.vseinstrumenti.ru/product/ugolok-soedinitelnyj-16-mm-1-2-tsanga-shtutser-dlya-truboprovoda-zubr-51409-16-1-2-231878/" TargetMode="External"/><Relationship Id="rId34" Type="http://schemas.openxmlformats.org/officeDocument/2006/relationships/hyperlink" Target="https://exist.ru/Catalog/Goods/36/1025/AB70F01A" TargetMode="External"/><Relationship Id="rId35" Type="http://schemas.openxmlformats.org/officeDocument/2006/relationships/hyperlink" Target="http://www.tovarpost.ru/web/tovarpost.asp?action=tovpod&amp;elem=5966763" TargetMode="External"/><Relationship Id="rId36" Type="http://schemas.openxmlformats.org/officeDocument/2006/relationships/hyperlink" Target="https://www.elektro.ru/product/mufta_soedinitelnaya_stm-20_3_4_fortisflex_2/" TargetMode="External"/><Relationship Id="rId37" Type="http://schemas.openxmlformats.org/officeDocument/2006/relationships/hyperlink" Target="https://www.chipdip.ru/product0/8010128096" TargetMode="External"/><Relationship Id="rId38" Type="http://schemas.openxmlformats.org/officeDocument/2006/relationships/hyperlink" Target="https://www.etm.ru/cat/nn/6032007?city=77" TargetMode="External"/><Relationship Id="rId39" Type="http://schemas.openxmlformats.org/officeDocument/2006/relationships/hyperlink" Target="https://valtec.ru/catalog/sistemy_metallopolimernyh_i_polimernyh_truboprovodov/obzhimnye_fitingi/fiting_objimnoj_trojnik_s_perehodom_na_narujnuyu_rezbu_vtm333n.html" TargetMode="External"/><Relationship Id="rId40" Type="http://schemas.openxmlformats.org/officeDocument/2006/relationships/hyperlink" Target="https://tdsayany.ru/catalogue/show/troynik-obzhimnoy-s-perehodom-na-nar-r/" TargetMode="External"/><Relationship Id="rId41" Type="http://schemas.openxmlformats.org/officeDocument/2006/relationships/hyperlink" Target="https://www.bigam.ru/product/valtec-1083844/" TargetMode="External"/><Relationship Id="rId42" Type="http://schemas.openxmlformats.org/officeDocument/2006/relationships/hyperlink" Target="https://fwater.ru/catalog/fitingi_dlya_trub/fitingi_obzhimnye_dlya_trub_metalloplastikovykh_/valtec_3/troynik_s_perekhodom_na_naruzhnuyu_rezbu_20_mm_kh_1_2_valtec/" TargetMode="External"/><Relationship Id="rId43" Type="http://schemas.openxmlformats.org/officeDocument/2006/relationships/hyperlink" Target="https://www.termokit.ru/product/fiting_obzhimnoy_troynik_s_perekhodom_na_naruzhnuyu_rezbu_valtec_20_x_1_2.htm" TargetMode="External"/><Relationship Id="rId44" Type="http://schemas.openxmlformats.org/officeDocument/2006/relationships/hyperlink" Target="https://aksis63.ru/catalog/metalloplastikovye_truby_i_fitingi/vtm_333_troynik_obzhimnoy_s_perekhodom_na_naruzhnuyu_rezbu_20_1_2_20_ts_nar_ts/" TargetMode="External"/><Relationship Id="rId45" Type="http://schemas.openxmlformats.org/officeDocument/2006/relationships/hyperlink" Target="https://www.tim-ru.ru/products/349526399-press_fiting_ugolok_nikelirovanny_20_20_f_l2020n" TargetMode="External"/><Relationship Id="rId46" Type="http://schemas.openxmlformats.org/officeDocument/2006/relationships/hyperlink" Target="https://www.vseinstrumenti.ru/product/ugolok-aqualink-perehodnoj-1-2x3-4-vn-vn-tsena-za-upakovku-10-sht-art-2560-1746361/" TargetMode="External"/><Relationship Id="rId47" Type="http://schemas.openxmlformats.org/officeDocument/2006/relationships/hyperlink" Target="https://dn.ru/polietilenovye-truby-i-fitingi/ugolki/rtp/ugolok-axi-vr/dn20-1-2" TargetMode="External"/><Relationship Id="rId48" Type="http://schemas.openxmlformats.org/officeDocument/2006/relationships/hyperlink" Target="https://tim-com.ru/katalog-tim/press-fiting-ugolok-c320---1-2-vnutrennyaya-c320-mm" TargetMode="External"/><Relationship Id="rId49" Type="http://schemas.openxmlformats.org/officeDocument/2006/relationships/hyperlink" Target="https://promportal.su/goods/44188258/press-fiting-ugolok-nikelirovanniy-20-20-f-l2020n.htm" TargetMode="External"/><Relationship Id="rId50" Type="http://schemas.openxmlformats.org/officeDocument/2006/relationships/hyperlink" Target="https://tim-rif.ru/products/press-fiting-ugolok-nikelirovannyj-f-20x20-tim-f-l2020n" TargetMode="External"/><Relationship Id="rId51" Type="http://schemas.openxmlformats.org/officeDocument/2006/relationships/hyperlink" Target="https://novorossiysk.vseinstrumenti.ru/product/podshipnik-cnic-uzel-ucp308-podshipnik-uc308-v-arochnom-korpuse-65231-2042508/" TargetMode="External"/><Relationship Id="rId52" Type="http://schemas.openxmlformats.org/officeDocument/2006/relationships/hyperlink" Target="https://new.optorg.ru/catalog/avtozapchasti/industrialnye_podshipniki/podshipniki/238505/" TargetMode="External"/><Relationship Id="rId53" Type="http://schemas.openxmlformats.org/officeDocument/2006/relationships/hyperlink" Target="https://bearingstore.ru/catalog/podshipniki_podshipnikovye_uzly_i_detali/podshipnikovye_uzly_korpusa_i_komplektuyushchie/podshipnikovye_uzly_i_komplektuyushchie_osnovnogo_primeneniya/72074/?ysclid=lnn5dbbf7v216585646" TargetMode="External"/><Relationship Id="rId54" Type="http://schemas.openxmlformats.org/officeDocument/2006/relationships/hyperlink" Target="https://fetparts.ru/products/AQUALINK/02358.html" TargetMode="External"/><Relationship Id="rId55" Type="http://schemas.openxmlformats.org/officeDocument/2006/relationships/hyperlink" Target="https://goodmag.ru/product/aqualine-podvodka-gibkaya-dlya-vody-s-nak-gaykoy-latun-v-stalnoy-opletke-1-2-400-sm-vn-nar-2358/" TargetMode="External"/><Relationship Id="rId56" Type="http://schemas.openxmlformats.org/officeDocument/2006/relationships/hyperlink" Target="https://arsenal007.ru/catalog/khoztovary/santekhnika/podvodka/aqualine-podvodka-gibkaya-dlya-vodyi-s-nak-gaykoy-latun-v-stalnoy-opletke-1-2-400-sm--vn-nar-2358-art-719297/" TargetMode="External"/><Relationship Id="rId57" Type="http://schemas.openxmlformats.org/officeDocument/2006/relationships/hyperlink" Target="https://www.kraska-ekb.ru/goods/81268106-grunt_emal_antikorroziynaya_dv_106" TargetMode="External"/><Relationship Id="rId58" Type="http://schemas.openxmlformats.org/officeDocument/2006/relationships/hyperlink" Target="https://bizorg.su/grunt-emal-r/p27961380-gruntemal-po-rzhavchine-dv106-tsveto" TargetMode="External"/><Relationship Id="rId59" Type="http://schemas.openxmlformats.org/officeDocument/2006/relationships/hyperlink" Target="https://krasnodar.pulscen.ru/products/grunt_emal_antikorroziynaya_dv_106_81268106" TargetMode="External"/><Relationship Id="rId60" Type="http://schemas.openxmlformats.org/officeDocument/2006/relationships/hyperlink" Target="https://www.kraska-ekb.ru/goods/81268106-grunt_emal_antikorroziynaya_dv_106" TargetMode="External"/><Relationship Id="rId61" Type="http://schemas.openxmlformats.org/officeDocument/2006/relationships/hyperlink" Target="https://bizorg.su/grunt-emal-r/p27961380-gruntemal-po-rzhavchine-dv106-tsveto" TargetMode="External"/><Relationship Id="rId62" Type="http://schemas.openxmlformats.org/officeDocument/2006/relationships/hyperlink" Target="https://krasnodar.pulscen.ru/products/grunt_emal_antikorroziynaya_dv_106_81268106" TargetMode="External"/><Relationship Id="rId63" Type="http://schemas.openxmlformats.org/officeDocument/2006/relationships/hyperlink" Target="https://rs24.ru/product/2313919" TargetMode="External"/><Relationship Id="rId64" Type="http://schemas.openxmlformats.org/officeDocument/2006/relationships/hyperlink" Target="https://www.chipdip.ru/product0/8007133241" TargetMode="External"/><Relationship Id="rId65" Type="http://schemas.openxmlformats.org/officeDocument/2006/relationships/hyperlink" Target="https://dc-electro.ru/catalog/products/vyklyuchatel-avtomaticheskiy-modulnyy-3p-d-40a-c60n-sche-m9f12340/" TargetMode="External"/><Relationship Id="rId66" Type="http://schemas.openxmlformats.org/officeDocument/2006/relationships/hyperlink" Target="https://autopiter.ru/goods/614500/sintec/id53355745" TargetMode="External"/><Relationship Id="rId67" Type="http://schemas.openxmlformats.org/officeDocument/2006/relationships/hyperlink" Target="https://megamarket.ru/catalog/details/antifriz-sintec-krasno-oranzhevyy-gotovyy-antifriz-5kg-614500-100022894432/otzyvy/" TargetMode="External"/><Relationship Id="rId68" Type="http://schemas.openxmlformats.org/officeDocument/2006/relationships/hyperlink" Target="https://avtospectr.com/market/sintec-antifriz-lux-g12-krasnyj-01l/" TargetMode="External"/><Relationship Id="rId69" Type="http://schemas.openxmlformats.org/officeDocument/2006/relationships/hyperlink" Target="https://www.magazin-krasok.com/polirovka/autokosmetika/motorhim/11abr-abro.html" TargetMode="External"/><Relationship Id="rId70" Type="http://schemas.openxmlformats.org/officeDocument/2006/relationships/hyperlink" Target="https://avsila.ru/catalog/masla-avtokosmetika-avtokhimiya/germetiki/germetik-abro-silikonovyy-krasnyy-85-gr-original-11ab-r/?ysclid=lnna30tmkz989350706" TargetMode="External"/><Relationship Id="rId71" Type="http://schemas.openxmlformats.org/officeDocument/2006/relationships/hyperlink" Target="https://www.avtoall.ru/germetik_krasnyiy_silikonovyiy_vysokotemperaturnyiy_85g_abro-481831/?ysclid=lnna2yqqvs230393224" TargetMode="External"/><Relationship Id="rId72" Type="http://schemas.openxmlformats.org/officeDocument/2006/relationships/hyperlink" Target="https://www.manometer-spb.ru/catalog/manometry/tekhnicheskie/3078/" TargetMode="External"/><Relationship Id="rId73" Type="http://schemas.openxmlformats.org/officeDocument/2006/relationships/hyperlink" Target="https://manometry.ru/mp3-uf" TargetMode="External"/><Relationship Id="rId74" Type="http://schemas.openxmlformats.org/officeDocument/2006/relationships/hyperlink" Target="https://mera-tek.ru/catalog/manometry/mp3-uf-1-mpa-kl-1-5-m20kh1-5/" TargetMode="External"/><Relationship Id="rId75" Type="http://schemas.openxmlformats.org/officeDocument/2006/relationships/hyperlink" Target="https://nevinnomisk.specarmatura.ru/catalog/manometry_tekhnicheskie_fiztekh/manometr_mp3_uf_0_1_6_atm_ip40_m20_1_5_rsh/" TargetMode="External"/><Relationship Id="rId76" Type="http://schemas.openxmlformats.org/officeDocument/2006/relationships/hyperlink" Target="https://sale-instrument.ru/product/manometr-fizteh-mp3-uf-isp-eko-0-1-6-mpa-kt-1-5-d-100-ip40-g1-2-rsh-1754923532.html" TargetMode="External"/><Relationship Id="rId77" Type="http://schemas.openxmlformats.org/officeDocument/2006/relationships/hyperlink" Target="https://kupi-kip.ru/product/manometr-tehnicheskij-fizteh-mp3-uf-v-ispolnenii-eko/" TargetMode="External"/><Relationship Id="rId78" Type="http://schemas.openxmlformats.org/officeDocument/2006/relationships/hyperlink" Target="https://nevinnomisk.specarmatura.ru/catalog/manometry_tekhnicheskie_fiztekh/manometr_mp3_uf_0_1_6_atm_ip40_m20_1_5_rsh/" TargetMode="External"/><Relationship Id="rId79" Type="http://schemas.openxmlformats.org/officeDocument/2006/relationships/hyperlink" Target="https://sale-instrument.ru/product/manometr-fizteh-mp3-uf-isp-eko-0-1-6-mpa-kt-1-5-d-100-ip40-g1-2-rsh-1754923532.html" TargetMode="External"/><Relationship Id="rId80" Type="http://schemas.openxmlformats.org/officeDocument/2006/relationships/hyperlink" Target="https://kupi-kip.ru/product/manometr-tehnicheskij-fizteh-mp3-uf-v-ispolnenii-eko/" TargetMode="External"/><Relationship Id="rId81" Type="http://schemas.openxmlformats.org/officeDocument/2006/relationships/hyperlink" Target="https://vsemanometri.ru/catalog/ekonom_variant/manometry_tekhnicheskie_mp3_uf_eko/" TargetMode="External"/><Relationship Id="rId82" Type="http://schemas.openxmlformats.org/officeDocument/2006/relationships/hyperlink" Target="https://www.manometer-spb.ru/catalog/manometry/tekhnicheskie/2770/" TargetMode="External"/><Relationship Id="rId83" Type="http://schemas.openxmlformats.org/officeDocument/2006/relationships/hyperlink" Target="https://lab-oborudovanie.ru/catalog/manometrt-mp3-u-eko-0-2-5-mpa/" TargetMode="External"/><Relationship Id="rId84" Type="http://schemas.openxmlformats.org/officeDocument/2006/relationships/hyperlink" Target="https://tdatm.ru/catalog/kontrolno_izmeritelnye_pribory_kipia/sredstva_izmereniya_davleniya/manometry/manometr_mp3_uf_isp_eko_0_1_mpa_kt_1_5_d_100_ip40_g1_2_rsh.html" TargetMode="External"/><Relationship Id="rId85" Type="http://schemas.openxmlformats.org/officeDocument/2006/relationships/hyperlink" Target="https://vsemanometri.ru/catalog/ekonom_variant/manometry_tekhnicheskie_mp3_uf_eko/" TargetMode="External"/><Relationship Id="rId86" Type="http://schemas.openxmlformats.org/officeDocument/2006/relationships/hyperlink" Target="https://www.manometer-spb.ru/catalog/manometry/tekhnicheskie/2766/" TargetMode="External"/><Relationship Id="rId87" Type="http://schemas.openxmlformats.org/officeDocument/2006/relationships/hyperlink" Target="https://lab-oborudovanie.ru/catalog/manometrt-mp3-uf-eko-0-1-6-mpa/" TargetMode="External"/><Relationship Id="rId88" Type="http://schemas.openxmlformats.org/officeDocument/2006/relationships/hyperlink" Target="https://www.manometer-spb.ru/catalog/manometry/tekhnicheskie/2775/" TargetMode="External"/><Relationship Id="rId89" Type="http://schemas.openxmlformats.org/officeDocument/2006/relationships/hyperlink" Target="https://vsemanometri.ru/catalog/ekonom_variant/manometry_tekhnicheskie_mp3_uf_eko/" TargetMode="External"/><Relationship Id="rId90" Type="http://schemas.openxmlformats.org/officeDocument/2006/relationships/hyperlink" Target="https://manometry.ru/tm-320r" TargetMode="External"/><Relationship Id="rId91" Type="http://schemas.openxmlformats.org/officeDocument/2006/relationships/hyperlink" Target="https://manocentr.ru/category/manometry/vibroustojchivye-manometry/vibroustojchivyj-manometr-tm-320r/" TargetMode="External"/><Relationship Id="rId92" Type="http://schemas.openxmlformats.org/officeDocument/2006/relationships/hyperlink" Target="https://ingenerseti.ru/product/manometr_tm_320r_00_0_2_5_mra_m12_1_5_zapolnenie_silikon_radialnyy_rosma/" TargetMode="External"/><Relationship Id="rId93" Type="http://schemas.openxmlformats.org/officeDocument/2006/relationships/hyperlink" Target="https://www.fiztech.ru/catalog/manometry/693/" TargetMode="External"/><Relationship Id="rId94" Type="http://schemas.openxmlformats.org/officeDocument/2006/relationships/hyperlink" Target="https://afkmarket.ru/catalog/pribory-ucheta-i-kipia/manometry/29576/" TargetMode="External"/><Relationship Id="rId95" Type="http://schemas.openxmlformats.org/officeDocument/2006/relationships/hyperlink" Target="https://lab-oborudovanie.ru/catalog/manometr-dm2010-isp-5-0-10-mpa/" TargetMode="External"/><Relationship Id="rId96" Type="http://schemas.openxmlformats.org/officeDocument/2006/relationships/hyperlink" Target="https://nevinnomisk.specarmatura.ru/catalog/manometry_elektrokontaktnye_fiztekh/manometr_dm2010f_isp_v_0_10_0_atm_ip40_m20kh1_5_rsh/" TargetMode="External"/><Relationship Id="rId97" Type="http://schemas.openxmlformats.org/officeDocument/2006/relationships/hyperlink" Target="https://afkmarket.ru/catalog/pribory-ucheta-i-kipia/manometry/29576/" TargetMode="External"/><Relationship Id="rId98" Type="http://schemas.openxmlformats.org/officeDocument/2006/relationships/hyperlink" Target="https://www.manometer-spb.ru/catalog/manometry/elektrokontaktnye_ekm/6686/" TargetMode="External"/><Relationship Id="rId99" Type="http://schemas.openxmlformats.org/officeDocument/2006/relationships/hyperlink" Target="https://nevinnomisk.specarmatura.ru/catalog/manometry_elektrokontaktnye_fiztekh/manometr_dm2010f_isp_v_0_1_6_atm_ip40_m20kh1_5_rsh/" TargetMode="External"/><Relationship Id="rId100" Type="http://schemas.openxmlformats.org/officeDocument/2006/relationships/hyperlink" Target="https://pro-com.ru/catalog/instrument_i_sredstva_zashchity/instrument_pnevmaticheskiy_/prinadlezhnosti_dlya_pnevmoinstrumenta_/manometry/manometr_dm2010f_isp_v_0_16_mpa_kt_1_5_d_100_ip40_m20_1_5_rsh/" TargetMode="External"/><Relationship Id="rId101" Type="http://schemas.openxmlformats.org/officeDocument/2006/relationships/hyperlink" Target="https://manometry.ru/dm2010f" TargetMode="External"/><Relationship Id="rId102" Type="http://schemas.openxmlformats.org/officeDocument/2006/relationships/hyperlink" Target="https://nevinnomisk.specarmatura.ru/catalog/manometry_elektrokontaktnye_fiztekh/manometr_dm2010f_isp_v_0_1_6_atm_ip40_m20kh1_5_rsh/" TargetMode="External"/><Relationship Id="rId103" Type="http://schemas.openxmlformats.org/officeDocument/2006/relationships/hyperlink" Target="https://mera-tek.ru/catalog/manometry/dm2010f-1-6-mpa-kl-1-5-isp-v-bez-flantsa/" TargetMode="External"/><Relationship Id="rId104" Type="http://schemas.openxmlformats.org/officeDocument/2006/relationships/hyperlink" Target="https://manometry.ru/dm2010f" TargetMode="External"/><Relationship Id="rId105" Type="http://schemas.openxmlformats.org/officeDocument/2006/relationships/hyperlink" Target="http://www.spec-arm.ru/goods/230265912-manometr_elektrokontaktny_dm2010f_isp_v_0_4_0_mpa_kt_1_5_d100_ip40_m20kh1_5_rsh" TargetMode="External"/><Relationship Id="rId106" Type="http://schemas.openxmlformats.org/officeDocument/2006/relationships/hyperlink" Target="https://nevinnomisk.specarmatura.ru/catalog/manometry_elektrokontaktnye_fiztekh/manometr_dm2010f_isp_v_0_40_0_atm_ip40_m20kh1_5_rsh/" TargetMode="External"/><Relationship Id="rId107" Type="http://schemas.openxmlformats.org/officeDocument/2006/relationships/hyperlink" Target="https://manometry.ru/dm2010f" TargetMode="External"/><Relationship Id="rId108" Type="http://schemas.openxmlformats.org/officeDocument/2006/relationships/hyperlink" Target="https://tdatm.ru/catalog/kontrolno_izmeritelnye_pribory_kipia/sredstva_izmereniya_davleniya/manometry/manometr_dm2010f_isp_v_0_1_mpa_kt_1_5_d_100_ip40_m20_1_5_rsh.html" TargetMode="External"/><Relationship Id="rId109" Type="http://schemas.openxmlformats.org/officeDocument/2006/relationships/hyperlink" Target="https://kupi-kip.ru/product/manometry-elektrokontaktnye-fizteh-dm2010f/" TargetMode="External"/><Relationship Id="rId110" Type="http://schemas.openxmlformats.org/officeDocument/2006/relationships/hyperlink" Target="https://nevinnomisk.specarmatura.ru/catalog/manometry_elektrokontaktnye_fiztekh/manometr_dm2010f_isp_v_0_6_0_atm_ip40_m20kh1_5_rsh/" TargetMode="External"/><Relationship Id="rId111" Type="http://schemas.openxmlformats.org/officeDocument/2006/relationships/hyperlink" Target="https://www.manometer-spb.ru/catalog/manometry/elektrokontaktnye_ekm/6690/" TargetMode="External"/><Relationship Id="rId112" Type="http://schemas.openxmlformats.org/officeDocument/2006/relationships/hyperlink" Target="https://manometry.ru/dm2010f" TargetMode="External"/><Relationship Id="rId113" Type="http://schemas.openxmlformats.org/officeDocument/2006/relationships/hyperlink" Target="https://lab-oborudovanie.ru/catalog/manometr-dm2010-isp-5-0-60-mpa/" TargetMode="External"/><Relationship Id="rId114" Type="http://schemas.openxmlformats.org/officeDocument/2006/relationships/hyperlink" Target="https://www.fiztech.ru/catalog/manometry/693/" TargetMode="External"/><Relationship Id="rId115" Type="http://schemas.openxmlformats.org/officeDocument/2006/relationships/hyperlink" Target="https://www.manometer-spb.ru/catalog/manometry/elektrokontaktnye_ekm/6690/" TargetMode="External"/><Relationship Id="rId116" Type="http://schemas.openxmlformats.org/officeDocument/2006/relationships/hyperlink" Target="https://knopka.org/catalog/kantselyarskie-tovary/pismennie-prinadlejnosti/markery/marker-kraska/marker-kraska_58073.html?ysclid=lnn3h6eba5631905189" TargetMode="External"/><Relationship Id="rId117" Type="http://schemas.openxmlformats.org/officeDocument/2006/relationships/hyperlink" Target="https://kancnika.ru/catalog/pis-mennye-prinadlezhnosti/markery-flomastery/markery-spetsial-nye/Marker-kraska-BLACK-chernyy-4mm.html?ysclid=lnn3j2e0nt688273093" TargetMode="External"/><Relationship Id="rId118" Type="http://schemas.openxmlformats.org/officeDocument/2006/relationships/hyperlink" Target="https://www.vseinstrumenti.ru/product/maslo-compressor-s-synth-100-1-l-gazpromneft-253721871-1175782/otzyvy/" TargetMode="External"/><Relationship Id="rId119" Type="http://schemas.openxmlformats.org/officeDocument/2006/relationships/hyperlink" Target="https://amertend.ru/gazpromneft-compressor-s-synth-100" TargetMode="External"/><Relationship Id="rId120" Type="http://schemas.openxmlformats.org/officeDocument/2006/relationships/hyperlink" Target="https://piteroils.ru/catalog/industrialnye_smazochnye_materialy/kompressornye/gazprom_neft_8/26841/" TargetMode="External"/><Relationship Id="rId121" Type="http://schemas.openxmlformats.org/officeDocument/2006/relationships/hyperlink" Target="https://www.autoopt.ru/catalog/733654-maslo_kompressornoe_compressor_s_synth_150_205l180kg_gazpromneft" TargetMode="External"/><Relationship Id="rId122" Type="http://schemas.openxmlformats.org/officeDocument/2006/relationships/hyperlink" Target="https://amertend.ru/gazpromneft-compressor-s-synth-150" TargetMode="External"/><Relationship Id="rId123" Type="http://schemas.openxmlformats.org/officeDocument/2006/relationships/hyperlink" Target="https://vils.ru/catalog/kompressornye_masla/gazpromneft_compressor_s_synth_150/?offer=41867" TargetMode="External"/><Relationship Id="rId124" Type="http://schemas.openxmlformats.org/officeDocument/2006/relationships/hyperlink" Target="https://ru.lukoil-shop.com/catalog/kommercheskiy_transport/motornye_masla/maslo_motornoe_lukoyl_avangard_mineralnoe_15w_40_api_cf_4_sg/" TargetMode="External"/><Relationship Id="rId125" Type="http://schemas.openxmlformats.org/officeDocument/2006/relationships/hyperlink" Target="https://baza.drom.ru/ekaterinburg/chemistry/motoroil/maslo-motornoe-lukoil-avangard-extra-15w-40-cg-4-e5-mineralnoe-5-l-dlja-kommerch-tehniki-lukoil-1552367-g12763204629.html" TargetMode="External"/><Relationship Id="rId126" Type="http://schemas.openxmlformats.org/officeDocument/2006/relationships/hyperlink" Target="https://www.arsenal-msk.ru/catalog/dlya-kommercheskogo-transporta/lukoyl-avangard-15w-40/" TargetMode="External"/><Relationship Id="rId127" Type="http://schemas.openxmlformats.org/officeDocument/2006/relationships/hyperlink" Target="https://piteroils.ru/catalog/gruzovye_masla/otechestvennye_1/lukoyl_1/polusinteticheskie_18/13191/" TargetMode="External"/><Relationship Id="rId128" Type="http://schemas.openxmlformats.org/officeDocument/2006/relationships/hyperlink" Target="https://www.vsemasla.com/lukojl-avangard-ul-tra-10w-40-ci-4-sl/" TargetMode="External"/><Relationship Id="rId129" Type="http://schemas.openxmlformats.org/officeDocument/2006/relationships/hyperlink" Target="https://hyperauto.ru/product/maslo-motornoe-lukoyl-avantgarde-ultra-10w40-polusinteticheskoe-api-sl-ci-4-acea-e7-jaso-dh-1-dlya-dizelnogo-dvigatelya-5l-art-19518-000017864/" TargetMode="External"/><Relationship Id="rId130" Type="http://schemas.openxmlformats.org/officeDocument/2006/relationships/hyperlink" Target="https://shop220.ru/kkm11-018-230-01-kontaktor-kmi-11811-18a-230v-as3-1nz-iek.htm" TargetMode="External"/><Relationship Id="rId131" Type="http://schemas.openxmlformats.org/officeDocument/2006/relationships/hyperlink" Target="https://www.etm.ru/cat/nn/9751780?city=77" TargetMode="External"/><Relationship Id="rId132" Type="http://schemas.openxmlformats.org/officeDocument/2006/relationships/hyperlink" Target="https://rs24.ru/product/30482" TargetMode="External"/><Relationship Id="rId133" Type="http://schemas.openxmlformats.org/officeDocument/2006/relationships/hyperlink" Target="https://ledgoods.ru/ehlektrotekhnika/kontaktory/minikontaktory/kontaktor-kmi-22511-25a-230v-as3-1nz-kkm21-025-230-01-iek/" TargetMode="External"/><Relationship Id="rId134" Type="http://schemas.openxmlformats.org/officeDocument/2006/relationships/hyperlink" Target="https://elevel.ru/shop/nizkovoltnoe-oborudovanie/kontaktory/iek-kontaktor-kmi-22511-25a-230v-as3-1nz/?ysclid=lnn3vbaxbe794611308" TargetMode="External"/><Relationship Id="rId135" Type="http://schemas.openxmlformats.org/officeDocument/2006/relationships/hyperlink" Target="https://www.elektro.ru/product/kontaktor_kmi-22511_25a_230v_as3_1nz_iek/?ysclid=lnn3vd85mf333358050" TargetMode="External"/><Relationship Id="rId136" Type="http://schemas.openxmlformats.org/officeDocument/2006/relationships/hyperlink" Target="https://zipzap24.ru/drives-and-timing/remen-ventilyatora-k-kt-2sht-belt-art-2614b655" TargetMode="External"/><Relationship Id="rId137" Type="http://schemas.openxmlformats.org/officeDocument/2006/relationships/hyperlink" Target="https://www.hited-shop.ru/product/remen-ventilyatora-belt-art2614b655" TargetMode="External"/><Relationship Id="rId138" Type="http://schemas.openxmlformats.org/officeDocument/2006/relationships/hyperlink" Target="https://dg-trade.ru/catalog/zapchasti-dlya-dvigateley/zapchasti-perkins/remen-sistemy-okhlazhdeniya-perkins-2614b655/" TargetMode="External"/><Relationship Id="rId139" Type="http://schemas.openxmlformats.org/officeDocument/2006/relationships/hyperlink" Target="https://www.autoopt.ru/catalog/911424-remen_privodnoj_klinovoj_13h1075_contitech" TargetMode="External"/><Relationship Id="rId140" Type="http://schemas.openxmlformats.org/officeDocument/2006/relationships/hyperlink" Target="https://avto-sistem.ru/baskets" TargetMode="External"/><Relationship Id="rId141" Type="http://schemas.openxmlformats.org/officeDocument/2006/relationships/hyperlink" Target="https://autocode.ru/price/Contitech/AVX13X1075" TargetMode="External"/><Relationship Id="rId142" Type="http://schemas.openxmlformats.org/officeDocument/2006/relationships/hyperlink" Target="https://www.tss.ru/catalog/zapchasti/zapasnye_chasti_dlya_dizelnykh_dvigateley/dvigateli_perkins/zapchasti_dlya_perkins_404_d_22g_ad_16_m18/remen_privoda_generatora_998_378_10000_66575_fg_wilson_004160/" TargetMode="External"/><Relationship Id="rId143" Type="http://schemas.openxmlformats.org/officeDocument/2006/relationships/hyperlink" Target="https://trustenergo.ru/catalog/zapasnye-chasti-dlya-dizelnykh-dvigateley/tss/remen-privoda-generatora-998-378-10000-66575-fg-wilson/" TargetMode="External"/><Relationship Id="rId144" Type="http://schemas.openxmlformats.org/officeDocument/2006/relationships/hyperlink" Target="https://www.rekon-russia.ru/catalog/detail/remen_privoda_generatora_998_378_10000_66575_fg_wilson/" TargetMode="External"/><Relationship Id="rId145" Type="http://schemas.openxmlformats.org/officeDocument/2006/relationships/hyperlink" Target="https://ati-auto.ru/catalog/rubena/88675/" TargetMode="External"/><Relationship Id="rId146" Type="http://schemas.openxmlformats.org/officeDocument/2006/relationships/hyperlink" Target="https://gettzap.ru/cart" TargetMode="External"/><Relationship Id="rId147" Type="http://schemas.openxmlformats.org/officeDocument/2006/relationships/hyperlink" Target="https://jetauto39.ru/baskets" TargetMode="External"/><Relationship Id="rId148" Type="http://schemas.openxmlformats.org/officeDocument/2006/relationships/hyperlink" Target="https://motorteile.ru/products/OPTIBELT/AVX13X1325TM.html" TargetMode="External"/><Relationship Id="rId149" Type="http://schemas.openxmlformats.org/officeDocument/2006/relationships/hyperlink" Target="https://baza.drom.ru/barnaul/sell_spare_parts/remen-grm-contitech-avx13x1325-113231681.html" TargetMode="External"/><Relationship Id="rId150" Type="http://schemas.openxmlformats.org/officeDocument/2006/relationships/hyperlink" Target="https://euroauto.ru/cart/" TargetMode="External"/><Relationship Id="rId151" Type="http://schemas.openxmlformats.org/officeDocument/2006/relationships/hyperlink" Target="https://partsell.ru/zakaz" TargetMode="External"/><Relationship Id="rId152" Type="http://schemas.openxmlformats.org/officeDocument/2006/relationships/hyperlink" Target="https://www.tradicia-k.ru/catalog/remni-perkins/" TargetMode="External"/><Relationship Id="rId153" Type="http://schemas.openxmlformats.org/officeDocument/2006/relationships/hyperlink" Target="https://impart.online/catalog/remen-ventilyatora-20000-12379-981-209-2614b655-2614b555-fg-wilson-n47b10/" TargetMode="External"/><Relationship Id="rId154" Type="http://schemas.openxmlformats.org/officeDocument/2006/relationships/hyperlink" Target="https://fg-wilson.ru/product/filtr-vozdushnyy-elementair-filter-element-art-10000-51238" TargetMode="External"/><Relationship Id="rId155" Type="http://schemas.openxmlformats.org/officeDocument/2006/relationships/hyperlink" Target="https://pecmall.ru/products/FG-WILSON/1000051238.html" TargetMode="External"/><Relationship Id="rId156" Type="http://schemas.openxmlformats.org/officeDocument/2006/relationships/hyperlink" Target="https://zapchasti-generator.ru/catalog/zapchasti_i_raskhodnye_materialy/zapchasti-dlya-dvigateley/filtry_/vozdushnye/filtr_vozdushnyy_fg_willson_perkins_901_048_26510342/?utm_source=yd_context&amp;utm_medium=cpc&amp;utm_campaign=84814378&amp;utm_content=5152750150-13" TargetMode="External"/><Relationship Id="rId157" Type="http://schemas.openxmlformats.org/officeDocument/2006/relationships/hyperlink" Target="https://fg-wilson.ru/product/filtr-vozdushnyy-901-046-26510362-915-660-art-901-046" TargetMode="External"/><Relationship Id="rId158" Type="http://schemas.openxmlformats.org/officeDocument/2006/relationships/hyperlink" Target="https://pecmall.ru/products/FG-WILSON/901046.html" TargetMode="External"/><Relationship Id="rId159" Type="http://schemas.openxmlformats.org/officeDocument/2006/relationships/hyperlink" Target="https://agroserver.ru/b/filtr-vozdushnyy-fg-wilson-901-046-26510362-915-660-1539830.htm" TargetMode="External"/><Relationship Id="rId160" Type="http://schemas.openxmlformats.org/officeDocument/2006/relationships/hyperlink" Target="https://autopiter.ru/cart" TargetMode="External"/><Relationship Id="rId161" Type="http://schemas.openxmlformats.org/officeDocument/2006/relationships/hyperlink" Target="https://texnostimul.ru/baskets" TargetMode="External"/><Relationship Id="rId162" Type="http://schemas.openxmlformats.org/officeDocument/2006/relationships/hyperlink" Target="https://arkopart.ru/baskets" TargetMode="External"/><Relationship Id="rId163" Type="http://schemas.openxmlformats.org/officeDocument/2006/relationships/hyperlink" Target="https://autopiter.ru/goods/af25539/fleetguard/id21461873" TargetMode="External"/><Relationship Id="rId164" Type="http://schemas.openxmlformats.org/officeDocument/2006/relationships/hyperlink" Target="https://baza.drom.ru/tyumen/sell_spare_parts/filtr-vozdushnyj-mtz-dv-lombardini-fleetguard-fleetguard-art-af25539-g14339684661.html" TargetMode="External"/><Relationship Id="rId165" Type="http://schemas.openxmlformats.org/officeDocument/2006/relationships/hyperlink" Target="https://gmgauto.ru/baskets" TargetMode="External"/><Relationship Id="rId166" Type="http://schemas.openxmlformats.org/officeDocument/2006/relationships/hyperlink" Target="https://www.autoopt.ru/catalog/961833-filtr_masljanyj_caterpillar_fleetguard" TargetMode="External"/><Relationship Id="rId167" Type="http://schemas.openxmlformats.org/officeDocument/2006/relationships/hyperlink" Target="https://emex.ru/basket" TargetMode="External"/><Relationship Id="rId168" Type="http://schemas.openxmlformats.org/officeDocument/2006/relationships/hyperlink" Target="https://fetparts.ru/baskets" TargetMode="External"/><Relationship Id="rId169" Type="http://schemas.openxmlformats.org/officeDocument/2006/relationships/hyperlink" Target="https://avsila.ru/catalog/masla-avtokosmetika-avtokhimiya/germetiki/germetik-abro-silikonovyy-seryy-85-gr-original-99-ab/" TargetMode="External"/><Relationship Id="rId170" Type="http://schemas.openxmlformats.org/officeDocument/2006/relationships/hyperlink" Target="https://www.avtoall.ru/germetik_prokladka_seryiy_termostoiykiiy_85g_999_oem__ssha__abro-073340/?withoutSuppliers=1" TargetMode="External"/><Relationship Id="rId171" Type="http://schemas.openxmlformats.org/officeDocument/2006/relationships/hyperlink" Target="https://www.chipdip.ru/product0/8013231474" TargetMode="External"/><Relationship Id="rId172" Type="http://schemas.openxmlformats.org/officeDocument/2006/relationships/hyperlink" Target="https://instrument-40.ru/transmissionnoe-maslo-vitex-tad-17-tm-5-18-10-l-v324805" TargetMode="External"/><Relationship Id="rId173" Type="http://schemas.openxmlformats.org/officeDocument/2006/relationships/hyperlink" Target="https://yunimag.ru/goods/1401431-transmissionnoe-maslo-vitex-tad-17tm-5-18-v324805.html" TargetMode="External"/><Relationship Id="rId174" Type="http://schemas.openxmlformats.org/officeDocument/2006/relationships/hyperlink" Target="https://novorossiysk.vseinstrumenti.ru/product/transmissionnoe-maslo-vitex-tad-17-tm-5-18-10-l-v324805-1582198/?ysclid=lnn32euvjo575984245" TargetMode="External"/><Relationship Id="rId175" Type="http://schemas.openxmlformats.org/officeDocument/2006/relationships/hyperlink" Target="https://www.etm.ru/cat/nn/9903245?ysclid=lnmwj2iu0211049083&amp;city=77" TargetMode="External"/><Relationship Id="rId176" Type="http://schemas.openxmlformats.org/officeDocument/2006/relationships/hyperlink" Target="https://rs24.ru/product/1703920" TargetMode="External"/><Relationship Id="rId177" Type="http://schemas.openxmlformats.org/officeDocument/2006/relationships/hyperlink" Target="https://www.electro-mpo.ru/catalog/vilki_razemy_udliniteli_setevye_filtry/r66_vilki_rozetki_v_rezinovom_korpuse_ip44_ip54_el/r5645-vilka-universal-1241-evr-kabelnaya-uglovaya-/?ysclid=lnmwohfeq378369280" TargetMode="External"/><Relationship Id="rId178" Type="http://schemas.openxmlformats.org/officeDocument/2006/relationships/hyperlink" Target="https://npoenergokom.ru/zip-trans/vozdukhoosushiteli-vs/vs-1/" TargetMode="External"/><Relationship Id="rId179" Type="http://schemas.openxmlformats.org/officeDocument/2006/relationships/hyperlink" Target="https://www.ds66.ru/goods/1087714/" TargetMode="External"/><Relationship Id="rId180" Type="http://schemas.openxmlformats.org/officeDocument/2006/relationships/hyperlink" Target="https://viam.online/sverdlovskaja-oblast/zarechnyj/dlja-biznesa/oborudovanie-dlja-biznesa/promyshlennoe/3875-vozduhoosushiteli-rasshiritelnyj-baki.html" TargetMode="External"/><Relationship Id="rId181" Type="http://schemas.openxmlformats.org/officeDocument/2006/relationships/hyperlink" Target="https://www.tesli.com/product/avtomaticheskiy-vyklyuchatel-keaz-1994448/" TargetMode="External"/><Relationship Id="rId182" Type="http://schemas.openxmlformats.org/officeDocument/2006/relationships/hyperlink" Target="https://www.prestig.ru/catalog/element/vyklyuchatel-avtomaticheskiy-modulnyy-1p-c-10a-6ka-optidin-bm63-1c10-ukhl3-keaz-260501/" TargetMode="External"/><Relationship Id="rId183" Type="http://schemas.openxmlformats.org/officeDocument/2006/relationships/hyperlink" Target="https://favorit-el.ru/catalog/vykljuchatel-avtomaticheskij-optidin-bm63-1c10-ukhl3.html" TargetMode="External"/><Relationship Id="rId184" Type="http://schemas.openxmlformats.org/officeDocument/2006/relationships/hyperlink" Target="https://keaz.ru/catalog/product/261159" TargetMode="External"/><Relationship Id="rId185" Type="http://schemas.openxmlformats.org/officeDocument/2006/relationships/hyperlink" Target="https://shop220.ru/261159-avtomaticheskiy-vyklyuchatel-postoyannogo-toka-optidin-bm63-1p-s16a-dc220v-6ka-keaz-bm63-1c16-dc-uhl3-avtomat-elektricheskiy.htm" TargetMode="External"/><Relationship Id="rId186" Type="http://schemas.openxmlformats.org/officeDocument/2006/relationships/hyperlink" Target="https://cable.ru/low-voltage/low-voltage-avtomaticheskii_viklyuchatel_optidin_bm63_1c16_dc_uhl3_keaz.php" TargetMode="External"/><Relationship Id="rId187" Type="http://schemas.openxmlformats.org/officeDocument/2006/relationships/hyperlink" Target="https://keaz.ru/catalog/product/293219" TargetMode="External"/><Relationship Id="rId188" Type="http://schemas.openxmlformats.org/officeDocument/2006/relationships/hyperlink" Target="https://favorit-el.ru/catalog/vykljuchatel-avtomaticheskij-optidin-bm63-1c25-ukhl3.html" TargetMode="External"/><Relationship Id="rId189" Type="http://schemas.openxmlformats.org/officeDocument/2006/relationships/hyperlink" Target="https://www.tesli.com/product/avtomaticheskiy-vyklyuchatel-keaz-1994453/" TargetMode="External"/><Relationship Id="rId190" Type="http://schemas.openxmlformats.org/officeDocument/2006/relationships/hyperlink" Target="https://www.chipdip.ru/product0/8001839078" TargetMode="External"/><Relationship Id="rId191" Type="http://schemas.openxmlformats.org/officeDocument/2006/relationships/hyperlink" Target="https://shop220.ru/260499-keaz-optidin-bm63-avtomaticheskiy-vyklyuchatel-1p-6a-b-6ka-ac-bm63-1b6-uhl3-avtomat.htm" TargetMode="External"/><Relationship Id="rId192" Type="http://schemas.openxmlformats.org/officeDocument/2006/relationships/hyperlink" Target="https://www.electro-mpo.ru/catalog/avtomaty_uzo_difavtomaty/a11_avtomaticheskie_vyklyuchateli_odnopolyusnye_va/a1147_avtomaticheskiy_vyklyuchatel_vm_63_1c6_6a_1p/" TargetMode="External"/><Relationship Id="rId193" Type="http://schemas.openxmlformats.org/officeDocument/2006/relationships/hyperlink" Target="https://ledgoods.ru/ehlektrotekhnika/vykljuchateli/vyklyuchateli-avtomaticheskie-trekhpolyusnye/avtomaticheskij-vyklyuchatel-optidin-bm63-3c10-uhl3-3p-260789-keaz/" TargetMode="External"/><Relationship Id="rId194" Type="http://schemas.openxmlformats.org/officeDocument/2006/relationships/hyperlink" Target="https://shop220.ru/260773-keaz-optidin-bm63-avtomaticheskiy-vyklyuchatel-3p-10a-b-6ka-ac-bm63-3b10-uhl3-avtomat.htm" TargetMode="External"/><Relationship Id="rId195" Type="http://schemas.openxmlformats.org/officeDocument/2006/relationships/hyperlink" Target="https://rs24.ru/product/2140878" TargetMode="External"/><Relationship Id="rId196" Type="http://schemas.openxmlformats.org/officeDocument/2006/relationships/hyperlink" Target="https://keaz.ru/catalog/product/293229" TargetMode="External"/><Relationship Id="rId197" Type="http://schemas.openxmlformats.org/officeDocument/2006/relationships/hyperlink" Target="https://ledgoods.ru/ehlektrotekhnika/vykljuchateli/vyklyuchateli-avtomaticheskie-trekhpolyusnye/avtomaticheskij-vyklyuchatel-optidin-bm63-3b16-uhl3-3p-260775-keaz/" TargetMode="External"/><Relationship Id="rId198" Type="http://schemas.openxmlformats.org/officeDocument/2006/relationships/hyperlink" Target="https://keaz.ru/catalog/product/260791" TargetMode="External"/><Relationship Id="rId199" Type="http://schemas.openxmlformats.org/officeDocument/2006/relationships/hyperlink" Target="https://keaz.ru/catalog/product/260794" TargetMode="External"/><Relationship Id="rId200" Type="http://schemas.openxmlformats.org/officeDocument/2006/relationships/hyperlink" Target="https://www.svelt.info/product/bm63-3c25-optidin-0401KZ00253/" TargetMode="External"/><Relationship Id="rId201" Type="http://schemas.openxmlformats.org/officeDocument/2006/relationships/hyperlink" Target="https://www.tesli.com/product/avtomaticheskiy-vyklyuchatel-keaz-1998583/" TargetMode="External"/><Relationship Id="rId202" Type="http://schemas.openxmlformats.org/officeDocument/2006/relationships/hyperlink" Target="https://shop220.ru/260787-keaz-optidin-bm63-avtomaticheskiy-vyklyuchatel-3p-6a-b-6ka-ac-bm63-3b6-uhl3-avtomat.htm" TargetMode="External"/><Relationship Id="rId203" Type="http://schemas.openxmlformats.org/officeDocument/2006/relationships/hyperlink" Target="https://www.svelt.info/product/bm63-3c6-optidin-0401KZ00260/" TargetMode="External"/><Relationship Id="rId204" Type="http://schemas.openxmlformats.org/officeDocument/2006/relationships/hyperlink" Target="https://electrictd.ru/catalog/nizkovoltnoe_oborudovanie/avtomaticheskie_vyklyuchateli_modulnye/vyklyuchatel_avtomaticheskiy_modulnyy_optidin_bm63_3c6_ukhl3_keaz/" TargetMode="External"/><Relationship Id="rId205" Type="http://schemas.openxmlformats.org/officeDocument/2006/relationships/hyperlink" Target="https://smetiz.ru/tovary/gajki/gost-5915-70-d4-k5-mstal-pczink-h0-l0-ca2-akrupnyij-srossiya-117397/" TargetMode="External"/><Relationship Id="rId206" Type="http://schemas.openxmlformats.org/officeDocument/2006/relationships/hyperlink" Target="https://kst21.ru/catalog/gayka_shestigrannaya_gost_5915_5927_din_934/gayka_m_4_otsink_kl_pr_8_0_din_934_gost_5915/" TargetMode="External"/><Relationship Id="rId207" Type="http://schemas.openxmlformats.org/officeDocument/2006/relationships/hyperlink" Target="https://smetiz.ru/tovary/gajki/gost-5915-70-d5-k5-mstal-pbez-pokryitiya-h0-l0-ca2-akrupnyij-srossiya-121664/" TargetMode="External"/><Relationship Id="rId208" Type="http://schemas.openxmlformats.org/officeDocument/2006/relationships/hyperlink" Target="https://www.mtk-fortuna.ru/listdiams.aspx?gradeid=1520" TargetMode="External"/><Relationship Id="rId209" Type="http://schemas.openxmlformats.org/officeDocument/2006/relationships/hyperlink" Target="https://megamarket.ru/catalog/details/germetik-silikonovyy-prozrachnyy-310-g-vysokotemperaturnyy-abro-ss-1200-clr-abro-art-ss-12-100025302233/" TargetMode="External"/><Relationship Id="rId210" Type="http://schemas.openxmlformats.org/officeDocument/2006/relationships/hyperlink" Target="https://www.chipdip.ru/product0/8022187512" TargetMode="External"/><Relationship Id="rId211" Type="http://schemas.openxmlformats.org/officeDocument/2006/relationships/hyperlink" Target="https://leroymerlin.ru/product/germetik-silikonovyy-abro-ss-1200-clr1200-prozrachnyy-310-ml-90342403/?utm_referrer=https%3A%2F%2Fyandex.ru%2Fsearch%2F%3Ftext%3D%25D0%25A1%25D0%25B8%25D0%25BB%25D0%25B8%25D0%25BA%25D0%25BE%25D0%25BD%25D0%25BE%25D0%25B2%25D1" TargetMode="External"/><Relationship Id="rId212" Type="http://schemas.openxmlformats.org/officeDocument/2006/relationships/hyperlink" Target="https://welteks.ru/catalog/izolyatsionnye-materialy/nakonechnik-obzhimnoy-kabelnyy-dlya-alyuminievykh-/zazhim_apparatnyy_a4a_120_mzva_00000198/?ysclid=lnn8p5n7kl533616780" TargetMode="External"/><Relationship Id="rId213" Type="http://schemas.openxmlformats.org/officeDocument/2006/relationships/hyperlink" Target="https://rs24.ru/product/25213" TargetMode="External"/><Relationship Id="rId214" Type="http://schemas.openxmlformats.org/officeDocument/2006/relationships/hyperlink" Target="https://e-kc.ru/cena/zazhim-apparatnyj-a4a-120-elektrofarfor-00000198?ysclid=lnn8mkfhz8338709990" TargetMode="External"/><Relationship Id="rId215" Type="http://schemas.openxmlformats.org/officeDocument/2006/relationships/hyperlink" Target="https://welteks.ru/catalog/izolyatsionnye-materialy/nakonechnik-obzhimnoy-kabelnyy-dlya-alyuminievykh-/zazhim_apparatnyy_a4a_185_mzva_00000214/" TargetMode="External"/><Relationship Id="rId216" Type="http://schemas.openxmlformats.org/officeDocument/2006/relationships/hyperlink" Target="https://e-kc.ru/cena/zazhim-apparatnyj-a4a-185-elektrofarfor-00000214?ysclid=lnn8w3xh1d89807170" TargetMode="External"/><Relationship Id="rId217" Type="http://schemas.openxmlformats.org/officeDocument/2006/relationships/hyperlink" Target="https://rs24.ru/product/25207" TargetMode="External"/><Relationship Id="rId218" Type="http://schemas.openxmlformats.org/officeDocument/2006/relationships/hyperlink" Target="https://ooo-senar.ru/catalog/elektrotekhnicheskoe_oborudovanie/sistemy_dlya_prokladki_kabelya/kabelnaya_armatura_krepezh_i_aksessuary_dlya_kabelya/997905/?ysclid=lnn9cngb7q336264848" TargetMode="External"/><Relationship Id="rId219" Type="http://schemas.openxmlformats.org/officeDocument/2006/relationships/hyperlink" Target="https://rs24.ru/product/25210" TargetMode="External"/><Relationship Id="rId220" Type="http://schemas.openxmlformats.org/officeDocument/2006/relationships/hyperlink" Target="https://e-kc.ru/cena/zazhim-apparatnyj-a4a-240-elektrofarfor-00001006" TargetMode="External"/><Relationship Id="rId221" Type="http://schemas.openxmlformats.org/officeDocument/2006/relationships/hyperlink" Target="https://www.vseinstrumenti.ru/product/minikanal-ekoplast-mex-25x16-mm-2m-77007-2-1168335/" TargetMode="External"/><Relationship Id="rId222" Type="http://schemas.openxmlformats.org/officeDocument/2006/relationships/hyperlink" Target="https://leroymerlin.ru/product/kabel-kanal-ekoplast-mex-25x16-mm-2-m-cvet-belyy-90287108/" TargetMode="External"/><Relationship Id="rId223" Type="http://schemas.openxmlformats.org/officeDocument/2006/relationships/hyperlink" Target="https://ecoplast-opt.ru/ekoplast-mex25-16-minikanal-25h16mm-ognestojkost-e110-2m-77007-2-e110" TargetMode="External"/><Relationship Id="rId224" Type="http://schemas.openxmlformats.org/officeDocument/2006/relationships/hyperlink" Target="https://www.etm.ru/cat/nn/9726743" TargetMode="External"/><Relationship Id="rId225" Type="http://schemas.openxmlformats.org/officeDocument/2006/relationships/hyperlink" Target="https://www.chipdip.ru/product0/8002394683" TargetMode="External"/><Relationship Id="rId226" Type="http://schemas.openxmlformats.org/officeDocument/2006/relationships/hyperlink" Target="https://alfasvet.pro/shop/product/pr-0540251-promrukav-kabel-kanal-40x25" TargetMode="External"/><Relationship Id="rId227" Type="http://schemas.openxmlformats.org/officeDocument/2006/relationships/hyperlink" Target="https://leroymerlin.ru/product/kabelnaya-styazhka-suprlan-pod-vint-3x200-mm-neylon-cvet-belyy-100-sht-91123590/" TargetMode="External"/><Relationship Id="rId228" Type="http://schemas.openxmlformats.org/officeDocument/2006/relationships/hyperlink" Target="https://www.chipdip.ru/product0/8007195212" TargetMode="External"/><Relationship Id="rId229" Type="http://schemas.openxmlformats.org/officeDocument/2006/relationships/hyperlink" Target="https://www.vseinstrumenti.ru/product/nejlonovaya-styazhka-pod-vint-suprlan-3h200-mm-belaya-100pcs-06-1005-1363665/" TargetMode="External"/><Relationship Id="rId230" Type="http://schemas.openxmlformats.org/officeDocument/2006/relationships/hyperlink" Target="https://www.etm.ru/cat/nn/4019286" TargetMode="External"/><Relationship Id="rId231" Type="http://schemas.openxmlformats.org/officeDocument/2006/relationships/hyperlink" Target="https://www.vseinstrumenti.ru/product/nejlonovyj-homut-so-stalnym-zubom-ekf-proxima-b-4x200-100-sht-plc-fl-ctsbw-4x200-4767342/" TargetMode="External"/><Relationship Id="rId232" Type="http://schemas.openxmlformats.org/officeDocument/2006/relationships/hyperlink" Target="https://www.minimaks.ru/product/styazhka-kabelnaya-khomut-4-8-200-s-montazhnym-otverstiem-chernaya-100-sht-upak-99699-npp-salyut/" TargetMode="External"/><Relationship Id="rId233" Type="http://schemas.openxmlformats.org/officeDocument/2006/relationships/hyperlink" Target="https://www.vseinstrumenti.ru/product/montazhnyj-plastikovyj-homut-enkor-4-8x300-chernyj-100sht-29974-947192/" TargetMode="External"/><Relationship Id="rId234" Type="http://schemas.openxmlformats.org/officeDocument/2006/relationships/hyperlink" Target="https://market.yandex.ru/product--stiazhka-kabelnaia-khomut-stiazhnoi-rexant-07-0303/1780747277?nid=69167&amp;show-uid=17001976493428393136916012&amp;context=search&amp;text=&#1089;&#1090;&#1103;&#1078;&#1082;&#1072;%20&#1085;&#1077;&#1081;&#1083;&#1086;&#1085;%204%2C6*300&#1084;&#1084;&amp;uniqueId=778912&amp;sku=581462200&amp;cpc=dH31AT8YsOXl3kboE9xThXz0YUu1G" TargetMode="External"/><Relationship Id="rId235" Type="http://schemas.openxmlformats.org/officeDocument/2006/relationships/hyperlink" Target="https://www.etm.ru/cat/nn/9869907" TargetMode="External"/><Relationship Id="rId236" Type="http://schemas.openxmlformats.org/officeDocument/2006/relationships/hyperlink" Target="https://nevinnomyssk.kupi.ru/product/180-kley-spetsialnyy-moment-stolyar-770835763/" TargetMode="External"/><Relationship Id="rId237" Type="http://schemas.openxmlformats.org/officeDocument/2006/relationships/hyperlink" Target="https://www.onlinetrade.ru/catalogue/kley-c3491/moment/kley_dlya_dereva_moment_stolyar_422981_250_g-545082.html" TargetMode="External"/><Relationship Id="rId238" Type="http://schemas.openxmlformats.org/officeDocument/2006/relationships/hyperlink" Target="https://www.etm.ru/cat/nn/9869907" TargetMode="External"/><Relationship Id="rId239" Type="http://schemas.openxmlformats.org/officeDocument/2006/relationships/hyperlink" Target="https://kraski-dl.ru/product/kraska-nerzhamet-ral-1028-zhyoltaya-dynya-antiko/" TargetMode="External"/><Relationship Id="rId240" Type="http://schemas.openxmlformats.org/officeDocument/2006/relationships/hyperlink" Target="https://wooood.ru/catalog/emal/kraska_po_metallu_antikorrozionnaya_nerzhamet_10_kg/?oid=7108" TargetMode="External"/><Relationship Id="rId241" Type="http://schemas.openxmlformats.org/officeDocument/2006/relationships/hyperlink" Target="https://color-servis.ru/catalog/soputstvuyushchie_tovary/anti_koroziynye_kraski/923/" TargetMode="External"/><Relationship Id="rId242" Type="http://schemas.openxmlformats.org/officeDocument/2006/relationships/hyperlink" Target="https://kraski-dl.ru/product/kraska-nerzhamet-ral-6020-zelenyj-hrom-antikorrozionnaya-poluglyanczevaya-dlya-metalla-krasko/" TargetMode="External"/><Relationship Id="rId243" Type="http://schemas.openxmlformats.org/officeDocument/2006/relationships/hyperlink" Target="https://ral.ru.com/catalog/kraski-ral/kraska-po-rzhavchine-ral/grunt-emal-nerzhamet-po-rzhavchine-poluglyantsevaya-3-v-1-8-kg/" TargetMode="External"/><Relationship Id="rId244" Type="http://schemas.openxmlformats.org/officeDocument/2006/relationships/hyperlink" Target="https://spb-orion.ru/product/nerzhamet/" TargetMode="External"/><Relationship Id="rId245" Type="http://schemas.openxmlformats.org/officeDocument/2006/relationships/hyperlink" Target="https://kraski-dl.ru/product/kraska-nerzhamet-ral-3001-signalnyj-krasnyj/" TargetMode="External"/><Relationship Id="rId246" Type="http://schemas.openxmlformats.org/officeDocument/2006/relationships/hyperlink" Target="https://market.yandex.ru/catalog--emali/18060863/list?srnum=1&amp;was_redir=1&amp;rt=9&amp;rs=eJwdkD1Iw0AcxRNbm6JLHNRBJIeDg-Li5kchk3PRwfUQZzcddPDUwaKIOAmBQsDB4lAKUgVNNYNCMUovYDeRjG6Ki-Ci997y49279_-4m37Ile3NfLGb9Aa2p6u6mSp9pRs6MmpX6BtzbKQ7umV4fGH3FSvnR45b7x46OATfnYJ7k" TargetMode="External"/><Relationship Id="rId247" Type="http://schemas.openxmlformats.org/officeDocument/2006/relationships/hyperlink" Target="https://lkmflot.ru/kraski-i-emali/naruzhnye-i-vnutrennie/krasko/kraska-grunt-dlya-metalla-krasko-nerzhamet/" TargetMode="External"/><Relationship Id="rId248" Type="http://schemas.openxmlformats.org/officeDocument/2006/relationships/hyperlink" Target="https://postroyka-nv.ru/catalog/show/Emal_NERZHAMETRAL7040seryj20kg" TargetMode="External"/><Relationship Id="rId249" Type="http://schemas.openxmlformats.org/officeDocument/2006/relationships/hyperlink" Target="https://market.yandex.ru/product--profi-roof/1824487696/spec?track=char" TargetMode="External"/><Relationship Id="rId250" Type="http://schemas.openxmlformats.org/officeDocument/2006/relationships/hyperlink" Target="https://ekb.pulscen.ru/products/grunt_emal_nerzhamet_49323632" TargetMode="External"/><Relationship Id="rId251" Type="http://schemas.openxmlformats.org/officeDocument/2006/relationships/hyperlink" Target="https://color1.ru/alkidnaya-antikorrozionnaya-grunt-emal-indosingl-tsvet-ral-7032-1kg" TargetMode="External"/><Relationship Id="rId252" Type="http://schemas.openxmlformats.org/officeDocument/2006/relationships/hyperlink" Target="https://profkolor.ru/goods/Kod-po-katalogu-RAL7032-2K-antikorrozijnaya-akrilovaya-grunt-jemal-Naimenovanie-kraski-Kieselgrau-Seraya-galka" TargetMode="External"/><Relationship Id="rId253" Type="http://schemas.openxmlformats.org/officeDocument/2006/relationships/hyperlink" Target="https://leroymerlin-jeb.ru/tovary/stroitelstvo-i-remont/materialy/alkidnaya-antikorrozionnaya-grunt-emal-indosingl-cvet-ral-7034-1kg" TargetMode="External"/><Relationship Id="rId254" Type="http://schemas.openxmlformats.org/officeDocument/2006/relationships/hyperlink" Target="https://www.bafus.ru/200716029/" TargetMode="External"/><Relationship Id="rId255" Type="http://schemas.openxmlformats.org/officeDocument/2006/relationships/hyperlink" Target="https://kraski-dl.ru/product/kraska-nerzhamet-ral-9017-chyornyj-transportny/" TargetMode="External"/><Relationship Id="rId256" Type="http://schemas.openxmlformats.org/officeDocument/2006/relationships/hyperlink" Target="https://postroyka-nv.ru/catalog/show/Emal_NERZHAMETRAL7040seryj20kg" TargetMode="External"/><Relationship Id="rId257" Type="http://schemas.openxmlformats.org/officeDocument/2006/relationships/hyperlink" Target="https://new.optorg.ru/catalog/instrument_i_oborudovanie/rashodnye_materialy_i_osnastka/krugi_abrazivnye_otreznye_i_voylochnye/242843/" TargetMode="External"/><Relationship Id="rId258" Type="http://schemas.openxmlformats.org/officeDocument/2006/relationships/hyperlink" Target="https://krasnodar.vseinstrumenti.ru/product/krug-otreznoj-po-metallu-a46tbf-125h1-2h22-2-mm-kraton-1-07-02-020-813119/" TargetMode="External"/><Relationship Id="rId259" Type="http://schemas.openxmlformats.org/officeDocument/2006/relationships/hyperlink" Target="https://www.kubaninstrument.ru/catalog/item/krug_otreznoy_po_metallu_kraton_profi_a_46_tbf_125_1_2_22_2mm_10702020?ysclid=lnmx9w3rnw356368720" TargetMode="External"/><Relationship Id="rId260" Type="http://schemas.openxmlformats.org/officeDocument/2006/relationships/hyperlink" Target="https://krasnodar.vseinstrumenti.ru/product/krug-otreznoj-po-metallu-a24tbf-125h3-0h22-2-mm-kraton-1-07-02-007-813100/?ysclid=lnmxk17cau549150643" TargetMode="External"/><Relationship Id="rId261" Type="http://schemas.openxmlformats.org/officeDocument/2006/relationships/hyperlink" Target="https://www.chipdip.ru/product0/8742623902?ysclid=lnmxmck43l975463118" TargetMode="External"/><Relationship Id="rId262" Type="http://schemas.openxmlformats.org/officeDocument/2006/relationships/hyperlink" Target="https://bs-shop.ru/product/krug-otreznoj-po-metallu-a24tbf-125h3-0h22-2-mm-kraton-1-07/" TargetMode="External"/><Relationship Id="rId263" Type="http://schemas.openxmlformats.org/officeDocument/2006/relationships/hyperlink" Target="https://krepi-mir.ru/catalog/osnastka_i_raskhodnye_materialy/krugi_abrazivnye/krugi_po_metallu/190632/?ysclid=lnmypxia3u763067957" TargetMode="External"/><Relationship Id="rId264" Type="http://schemas.openxmlformats.org/officeDocument/2006/relationships/hyperlink" Target="https://www.chipdip.ru/product1/8021359034?ysclid=lnmyaqcnxm877438314" TargetMode="External"/><Relationship Id="rId265" Type="http://schemas.openxmlformats.org/officeDocument/2006/relationships/hyperlink" Target="https://avgit-tools.ru/catalog/osnastka_i_raskhodnye_materialy/raskhodnye-materialy-dlya-instrumenta/diski-abrazivnye/diski-abrazivnye-otreznye/diski-abrazivnye-otreznye-po-metallu/120719/" TargetMode="External"/><Relationship Id="rId266" Type="http://schemas.openxmlformats.org/officeDocument/2006/relationships/hyperlink" Target="https://www.sovis.ru/catalog/abrazivnyj-instrument/krugiotrez/21/?ysclid=lnn9rmxd38595910647" TargetMode="External"/><Relationship Id="rId267" Type="http://schemas.openxmlformats.org/officeDocument/2006/relationships/hyperlink" Target="https://specinstrument.ru/catalog/hand_tool/instrument_dlya_metalloobrabotki/abrazivnye_materialy/krugi_otreznye_po_metallu/krug_otreznoy_150kh3kh22_po_metallu_41_150_3_22_23_a_24_r_s_bf_80_2_ex_/?ysclid=lnn9q9c051980237603" TargetMode="External"/><Relationship Id="rId268" Type="http://schemas.openxmlformats.org/officeDocument/2006/relationships/hyperlink" Target="https://terra-tools.ru/products/krug_otreznoy_po_metallu_luga_150kh3_0kh22_a_24_s_bf_80_14a_bu/?ysclid=lnn9nby9ae714993313" TargetMode="External"/><Relationship Id="rId269" Type="http://schemas.openxmlformats.org/officeDocument/2006/relationships/hyperlink" Target="https://www.kuvalda.ru/catalog/4846/product-92818/?ysclid=lnmz7sg76l462328381" TargetMode="External"/><Relationship Id="rId270" Type="http://schemas.openxmlformats.org/officeDocument/2006/relationships/hyperlink" Target="https://www.kubaninstrument.ru/catalog/item/krug_otreznoy_po_metallu_kraton_a_46_tbf_230_22_2_1_8_10702005?ysclid=lnmz7yzmjm174292801" TargetMode="External"/><Relationship Id="rId271" Type="http://schemas.openxmlformats.org/officeDocument/2006/relationships/hyperlink" Target="https://new.optorg.ru/catalog/instrument_i_oborudovanie/rashodnye_materialy_i_osnastka/krugi_abrazivnye_otreznye_i_voylochnye/241265/?ysclid=lnmz5vno2k572219356" TargetMode="External"/><Relationship Id="rId272" Type="http://schemas.openxmlformats.org/officeDocument/2006/relationships/hyperlink" Target="https://www.chipdip.ru/product0/8016294175" TargetMode="External"/><Relationship Id="rId273" Type="http://schemas.openxmlformats.org/officeDocument/2006/relationships/hyperlink" Target="https://novorossiysk.vseinstrumenti.ru/product/lampa-iek-seriya-360-led-a60-prozrachnaya-11vt-230v-6500k-e27-llf-a60-11-230-65-e27-cl-1538944/?ysclid=lnn4s6w0qy287961277" TargetMode="External"/><Relationship Id="rId274" Type="http://schemas.openxmlformats.org/officeDocument/2006/relationships/hyperlink" Target="https://leroymerlin.ru/product/lampa-svetodiodnaya-iek-llf-a60-11-230-65-e27-cl-e27-230-v-11-vt-grusha-prozrachnaya-1320-lm-holodnyy-belyy-svet-90786233/?ysclid=lnn4se219n366732498&amp;utm_referrer=https%3A%2F%2Fya.ru%2F" TargetMode="External"/><Relationship Id="rId275" Type="http://schemas.openxmlformats.org/officeDocument/2006/relationships/hyperlink" Target="https://rs24.ru/product/479121" TargetMode="External"/><Relationship Id="rId276" Type="http://schemas.openxmlformats.org/officeDocument/2006/relationships/hyperlink" Target="https://shop220.ru/902502212-lampa-svetodiodnaya-nizkovoltnaya-varton-12w-4000k-24-36v-ac-dc-e27-1000lm-60h125mm.htm" TargetMode="External"/><Relationship Id="rId277" Type="http://schemas.openxmlformats.org/officeDocument/2006/relationships/hyperlink" Target="https://www.rusest.com/katalog/nizkovoltnye-svetilniki/nizkovoltnaya_svetodiodnaya_lampa_varton_12vt_e27_12v_ac_dc_4000k/" TargetMode="External"/><Relationship Id="rId278" Type="http://schemas.openxmlformats.org/officeDocument/2006/relationships/hyperlink" Target="https://electrovent.ru/elektrotehnicheskie-tovary/lampy/energosberegayuschie-lampy/energosberegayuschaya-lampa-philips-softone-esaver-11w-827-e27-230-240v-t60/" TargetMode="External"/><Relationship Id="rId279" Type="http://schemas.openxmlformats.org/officeDocument/2006/relationships/hyperlink" Target="https://ledgoods.ru/osveshchenie/lamps/lampy-ehnergosberegayushchie-kll/lampa-lyuminescentnaya-kll-genie-es-11w-ww-e27-220-240v-1pf-6-871150080119710-ph80119710-philips/" TargetMode="External"/><Relationship Id="rId280" Type="http://schemas.openxmlformats.org/officeDocument/2006/relationships/hyperlink" Target="https://www.smartlamps.ru/products/softone-esaver-11w-827-e27-230-240v-t60-d60x114-philips-lampa" TargetMode="External"/><Relationship Id="rId281" Type="http://schemas.openxmlformats.org/officeDocument/2006/relationships/hyperlink" Target="https://www.etm.ru/cat/nn/7877594?ysclid=lnndjacmiy1295913&amp;city=77" TargetMode="External"/><Relationship Id="rId282" Type="http://schemas.openxmlformats.org/officeDocument/2006/relationships/hyperlink" Target="https://rs24.ru/product/18409" TargetMode="External"/><Relationship Id="rId283" Type="http://schemas.openxmlformats.org/officeDocument/2006/relationships/hyperlink" Target="https://www.minimaks.ru/product/lampa-lineynaya-lyuminestsentnaya-ll-36vt-l-36w-765-t8-g13-kholodnaya-dnevnaya-smolensk-405289935283/?ysclid=lnndjf9y5h297468135" TargetMode="External"/><Relationship Id="rId284" Type="http://schemas.openxmlformats.org/officeDocument/2006/relationships/hyperlink" Target="https://www.minimaks.ru/product/lampa-lineynaya-lyuminestsentnaya-ll-18vt-l18w-765-t8-g13-kholodnaya-dnevnaya-smolensk-4052899209084/?ysclid=lnn2jmmu1999012981" TargetMode="External"/><Relationship Id="rId285" Type="http://schemas.openxmlformats.org/officeDocument/2006/relationships/hyperlink" Target="https://www.chipdip.ru/product0/8010880021?ysclid=lnn2jf9bim738384780" TargetMode="External"/><Relationship Id="rId286" Type="http://schemas.openxmlformats.org/officeDocument/2006/relationships/hyperlink" Target="https://www.etm.ru/cat/nn/9734602?ysclid=lnn2j6sggf617444979&amp;city=77" TargetMode="External"/><Relationship Id="rId287" Type="http://schemas.openxmlformats.org/officeDocument/2006/relationships/hyperlink" Target="https://terra-led.ru/svetilnik_aysberg_ip65/svetilnik-aysberg-40-vt-5000-lm-ip65-s-bap-na-1-5-chasa/" TargetMode="External"/><Relationship Id="rId288" Type="http://schemas.openxmlformats.org/officeDocument/2006/relationships/hyperlink" Target="https://nevinnomyssk.kupi.ru/product/180-svetilnik-aysberg-40w-5000lm-ip65-877880802/" TargetMode="External"/><Relationship Id="rId289" Type="http://schemas.openxmlformats.org/officeDocument/2006/relationships/hyperlink" Target="https://led-comp.ru/svetodiodnye-svetilniki/295611.html" TargetMode="External"/><Relationship Id="rId290" Type="http://schemas.openxmlformats.org/officeDocument/2006/relationships/hyperlink" Target="https://www.vseinstrumenti.ru/product/lampa-lyuminestsentnaya-camelion-ft8-36w-54-6500k-3009-518866/" TargetMode="External"/><Relationship Id="rId291" Type="http://schemas.openxmlformats.org/officeDocument/2006/relationships/hyperlink" Target="https://www.etm.ru/cat/nn/9453860" TargetMode="External"/><Relationship Id="rId292" Type="http://schemas.openxmlformats.org/officeDocument/2006/relationships/hyperlink" Target="https://www.komus.ru/katalog/katalog-instrumentov/elektrika-i-svet/lampochki/lyuminestsentnye-lampy/lampa-lyuminestsentnaya-osram-l36w-830-36-vt-g13-t8-3000-k-4050300517896-25-shtuk-v-upakovke-/p/293404/?from=block-301-0_4" TargetMode="External"/><Relationship Id="rId293" Type="http://schemas.openxmlformats.org/officeDocument/2006/relationships/hyperlink" Target="https://www.electro-mpo.ru/catalog/lampy_elektropatrony/l17_lampy_nakalivaniya_nizkogo_napryazheniya_rossi/l1710_lampa_60vt_mo_12_60_12v_e27_nakalivaniya_mes/" TargetMode="External"/><Relationship Id="rId294" Type="http://schemas.openxmlformats.org/officeDocument/2006/relationships/hyperlink" Target="https://rubilnik.ru/catalog/lampy/lampy_nakalivaniya_1/lampa_nakalivaniya_standartnaya_lon_mo/47773/" TargetMode="External"/><Relationship Id="rId295" Type="http://schemas.openxmlformats.org/officeDocument/2006/relationships/hyperlink" Target="https://connect.u-energo.ru/product/_Nff2465a9-d92e-11dd-a3cd-b6325bf879be" TargetMode="External"/><Relationship Id="rId296" Type="http://schemas.openxmlformats.org/officeDocument/2006/relationships/hyperlink" Target="https://uprawa.ru/catalog/item/007185?ysclid=lnnbnb0zjq36284030" TargetMode="External"/><Relationship Id="rId297" Type="http://schemas.openxmlformats.org/officeDocument/2006/relationships/hyperlink" Target="https://pitersvet.ru/pzh-220-500.html?ysclid=lnnb5muiqf322051008" TargetMode="External"/><Relationship Id="rId298" Type="http://schemas.openxmlformats.org/officeDocument/2006/relationships/hyperlink" Target="https://electrictd.ru/catalog/lampy/lampy_prozhektornye_s_tsokolem_r7s_r40s_e40/lampa_nakalivaniya_prozhektornaya_pzh_500vt_5_220v_e40_lisma/?ysclid=lnnbnkell0896122352" TargetMode="External"/><Relationship Id="rId299" Type="http://schemas.openxmlformats.org/officeDocument/2006/relationships/hyperlink" Target="https://rs24.ru/product/300603" TargetMode="External"/><Relationship Id="rId300" Type="http://schemas.openxmlformats.org/officeDocument/2006/relationships/hyperlink" Target="https://navigator-light.ru/lamps/led/linejnyie-nll-t8/seriya-lamp-nll-t8/94064.html?ysclid=lnndotzqwm960631244" TargetMode="External"/><Relationship Id="rId301" Type="http://schemas.openxmlformats.org/officeDocument/2006/relationships/hyperlink" Target="https://www.chipdip.ru/product0/8148733634?ysclid=lnndp1v7h7648054465" TargetMode="External"/><Relationship Id="rId302" Type="http://schemas.openxmlformats.org/officeDocument/2006/relationships/hyperlink" Target="https://www.chipdip.ru/product0/8173557661?ysclid=lnnduye3ft880435890" TargetMode="External"/><Relationship Id="rId303" Type="http://schemas.openxmlformats.org/officeDocument/2006/relationships/hyperlink" Target="https://rs24.ru/product/165966" TargetMode="External"/><Relationship Id="rId304" Type="http://schemas.openxmlformats.org/officeDocument/2006/relationships/hyperlink" Target="https://www.etm.ru/cat/nn/1811446?ysclid=lnndurbfbl890260666&amp;city=77" TargetMode="External"/><Relationship Id="rId305" Type="http://schemas.openxmlformats.org/officeDocument/2006/relationships/hyperlink" Target="https://ledpremium.ru/catalog/lampy-lyuminescentnye-dvuhcokolynye/lampa_lyuminestsentnaya_dvukhtsokolnaya_est14_t5_g5_21w_6400k/" TargetMode="External"/><Relationship Id="rId306" Type="http://schemas.openxmlformats.org/officeDocument/2006/relationships/hyperlink" Target="https://www.etm.ru/cat/nn/9828096?city=77" TargetMode="External"/><Relationship Id="rId307" Type="http://schemas.openxmlformats.org/officeDocument/2006/relationships/hyperlink" Target="https://dc-electro.ru/catalog/products/est14-t5-21w-g5-6400k/" TargetMode="External"/><Relationship Id="rId308" Type="http://schemas.openxmlformats.org/officeDocument/2006/relationships/hyperlink" Target="https://flipzip.ru/product/energosberegaushhaya-kompaktnaya-lampa-dulux-superstar-micro-twist-15vt-827-e14-osram-4052899917750--45947470" TargetMode="External"/><Relationship Id="rId309" Type="http://schemas.openxmlformats.org/officeDocument/2006/relationships/hyperlink" Target="https://electrikmart.ru/svetotehnicheskie-izdeliya/lampa-ljuminescentnaja-kompaktnaja-integrirovannaja/lampa-lyuminescentnaya-kompakt-dulux-superstar-micro-twist-15w827-15vt-e14-spiralnaya-2700k-osram-4052899917750" TargetMode="External"/><Relationship Id="rId310" Type="http://schemas.openxmlformats.org/officeDocument/2006/relationships/hyperlink" Target="https://www.chipdip.ru/product0/8013319622" TargetMode="External"/><Relationship Id="rId311" Type="http://schemas.openxmlformats.org/officeDocument/2006/relationships/hyperlink" Target="https://moskva.kupi.ru/product/173-lampa-svetodiodnaya-grusha-11vt-751804599/" TargetMode="External"/><Relationship Id="rId312" Type="http://schemas.openxmlformats.org/officeDocument/2006/relationships/hyperlink" Target="https://svet-v-dome.ru/svet/lampy/lampy-energosberegayushchie/lampy-energosberegayushchie-wolta/lampa-energosberegayushchaya-r63-11vt-e27-2700k" TargetMode="External"/><Relationship Id="rId313" Type="http://schemas.openxmlformats.org/officeDocument/2006/relationships/hyperlink" Target="https://satom.ru/p/1328123563-lampa-svetodiodnaya-philips-ecohome-bulb-840-e27-11-vt-4000-k-950-lm-grusha/" TargetMode="External"/><Relationship Id="rId314" Type="http://schemas.openxmlformats.org/officeDocument/2006/relationships/hyperlink" Target="https://hoff.ru/catalog/tovary_dlya_doma/osveschenie/lampochki_i_soputstvuyuschie_tovary/lampy_svetodiodnye/lampa_svetodiodnaya_crystal_id9220389/?articul=80521779" TargetMode="External"/><Relationship Id="rId315" Type="http://schemas.openxmlformats.org/officeDocument/2006/relationships/hyperlink" Target="https://www.mebelion.ru/catalog/VG10-A1E27cold15W-F.html" TargetMode="External"/><Relationship Id="rId316" Type="http://schemas.openxmlformats.org/officeDocument/2006/relationships/hyperlink" Target="https://www.vamsvet.ru/catalog/product/lampa_svetodiodnaya_e27_15w_4000k_grusha_prozrachnaya_vg10_a1e27cold15w_f_7103/" TargetMode="External"/><Relationship Id="rId317" Type="http://schemas.openxmlformats.org/officeDocument/2006/relationships/hyperlink" Target="https://rs24.ru/product/2791430" TargetMode="External"/><Relationship Id="rId318" Type="http://schemas.openxmlformats.org/officeDocument/2006/relationships/hyperlink" Target="https://www.vseinstrumenti.ru/product/svetodiodnaya-lampa-ergolux-led-hw-65w-e40-6k-seriya-pro-65vt-e27-e40-6500k-150-260v-14330-2148745/" TargetMode="External"/><Relationship Id="rId319" Type="http://schemas.openxmlformats.org/officeDocument/2006/relationships/hyperlink" Target="https://ledpremium.ru/catalog/lampy-svetodiodnye-vysokoy-moschnosti/lampa_svetodiodnaya_led_hw_65w_e40_6k_pro_65vt_e27_e40_6500k_150_260v_ergolux_14330/" TargetMode="External"/><Relationship Id="rId320" Type="http://schemas.openxmlformats.org/officeDocument/2006/relationships/hyperlink" Target="https://www.etm.ru/cat/nn/9053610?city=77" TargetMode="External"/><Relationship Id="rId321" Type="http://schemas.openxmlformats.org/officeDocument/2006/relationships/hyperlink" Target="https://electro-materiali.ru/catalog/lampy-istochniki-sveta/lampy-luminestsentnye/lampy-kompaktnye-lyuministsentnye-i-lyuministsentnye-uniel/102649/" TargetMode="External"/><Relationship Id="rId322" Type="http://schemas.openxmlformats.org/officeDocument/2006/relationships/hyperlink" Target="https://elkon.su/lampa-energosberegayushchaya-kll-45-842-e27-d64x157-spiral-kosmos/" TargetMode="External"/><Relationship Id="rId323" Type="http://schemas.openxmlformats.org/officeDocument/2006/relationships/hyperlink" Target="https://www.etm.ru/cat/nn/8539660" TargetMode="External"/><Relationship Id="rId324" Type="http://schemas.openxmlformats.org/officeDocument/2006/relationships/hyperlink" Target="https://rs24.ru/product/2123801" TargetMode="External"/><Relationship Id="rId325" Type="http://schemas.openxmlformats.org/officeDocument/2006/relationships/hyperlink" Target="https://www.vseinstrumenti.ru/product/metallorukav-fortisflex-r3-tspng-ls-16-s-protyazhkoj-87691-9137246/" TargetMode="External"/><Relationship Id="rId326" Type="http://schemas.openxmlformats.org/officeDocument/2006/relationships/hyperlink" Target="https://nevinnomissk.promportal.su/goods/37468248/labomid-203.htm" TargetMode="External"/><Relationship Id="rId327" Type="http://schemas.openxmlformats.org/officeDocument/2006/relationships/hyperlink" Target="https://fedexpert.ru/catalog/khimiya/moyushchie_sredstva/tekhnicheskie_moyushchie_sredstva/8594/" TargetMode="External"/><Relationship Id="rId328" Type="http://schemas.openxmlformats.org/officeDocument/2006/relationships/hyperlink" Target="https://www.eko-tec.ru/product/5166279/" TargetMode="External"/><Relationship Id="rId329" Type="http://schemas.openxmlformats.org/officeDocument/2006/relationships/hyperlink" Target="https://stavropol.pulscen.ru/products/labomid_203_fasovka_35_kg_59604586" TargetMode="External"/><Relationship Id="rId330" Type="http://schemas.openxmlformats.org/officeDocument/2006/relationships/hyperlink" Target="https://www.aquateka.ru/?cat=products&amp;prod=tehnicheskoe-moyushee-sredstvo-labomid-203-40-kg-650040" TargetMode="External"/><Relationship Id="rId331" Type="http://schemas.openxmlformats.org/officeDocument/2006/relationships/hyperlink" Target="https://www.td-polimer54.ru/goods/84558460-labomid_203" TargetMode="External"/><Relationship Id="rId332" Type="http://schemas.openxmlformats.org/officeDocument/2006/relationships/hyperlink" Target="https://www.elektro.ru/product/nakonechnik_mednyy_luzhenyy_tl_16-8-6/" TargetMode="External"/><Relationship Id="rId333" Type="http://schemas.openxmlformats.org/officeDocument/2006/relationships/hyperlink" Target="https://www.etm.ru/cat/nn/851292?city=77" TargetMode="External"/><Relationship Id="rId334" Type="http://schemas.openxmlformats.org/officeDocument/2006/relationships/hyperlink" Target="https://ielectrik.ru/product/zeta_nakonechnik_mednyy_lujenyy_tml_16-8-6.html" TargetMode="External"/><Relationship Id="rId335" Type="http://schemas.openxmlformats.org/officeDocument/2006/relationships/hyperlink" Target="https://www.etm.ru/cat/nn/9716468" TargetMode="External"/><Relationship Id="rId336" Type="http://schemas.openxmlformats.org/officeDocument/2006/relationships/hyperlink" Target="https://www.electro-master.ru/catalog/nakonechniki_i_gilzy_mednye_tml_gml_nshp/nakonechnik_mednyy_luzhenyy_tml_10_5_5_kvt/" TargetMode="External"/><Relationship Id="rId337" Type="http://schemas.openxmlformats.org/officeDocument/2006/relationships/hyperlink" Target="https://elektrikapro.ru/catalog/nakonechniki_gilzy_dlya_kabelya/661513/" TargetMode="External"/><Relationship Id="rId338" Type="http://schemas.openxmlformats.org/officeDocument/2006/relationships/hyperlink" Target="https://www.vseinstrumenti.ru/product/plavkaya-vstavka-keaz-pn2-100-100a-u3-keaz-110863-1188899/" TargetMode="External"/><Relationship Id="rId339" Type="http://schemas.openxmlformats.org/officeDocument/2006/relationships/hyperlink" Target="https://ledpremium.ru/catalog/plavkiy-predokhranitel-nizkovoltnyy-nozhevoy/vstavka_plavkaya_pn2_100_100a_u3_keaz_110863/" TargetMode="External"/><Relationship Id="rId340" Type="http://schemas.openxmlformats.org/officeDocument/2006/relationships/hyperlink" Target="https://www.etm.ru/cat/nn/9767170" TargetMode="External"/><Relationship Id="rId341" Type="http://schemas.openxmlformats.org/officeDocument/2006/relationships/hyperlink" Target="https://www.minimaks.ru/product/predokhranitel-160a-gabarit-00-ppn-33-160-160-fus-33-160-ekf/" TargetMode="External"/><Relationship Id="rId342" Type="http://schemas.openxmlformats.org/officeDocument/2006/relationships/hyperlink" Target="https://www.etm.ru/cat/nn/7106459?city=77" TargetMode="External"/><Relationship Id="rId343" Type="http://schemas.openxmlformats.org/officeDocument/2006/relationships/hyperlink" Target="https://www.vseinstrumenti.ru/product/plavkaya-vstavka-ekf-ppn-33-160-160a-gabarit-00-fus-33-160-2053806/" TargetMode="External"/><Relationship Id="rId344" Type="http://schemas.openxmlformats.org/officeDocument/2006/relationships/hyperlink" Target="https://www.etm.ru/cat/nn/9767171" TargetMode="External"/><Relationship Id="rId345" Type="http://schemas.openxmlformats.org/officeDocument/2006/relationships/hyperlink" Target="https://www.elprom-st.ru/predohraniteli-0-4-10-kv/nizkovoltnye-predohraniteli-obschepromyshlennye-gg-am/pn2-plavkie-predohraniteli/predohranitel_pn2-250-10_uhl3_250a" TargetMode="External"/><Relationship Id="rId346" Type="http://schemas.openxmlformats.org/officeDocument/2006/relationships/hyperlink" Target="https://aps-shop.ru/predohranitel-pn2-250-100a-predohranitel-vstavka-plavkaya-nozh-med/" TargetMode="External"/><Relationship Id="rId347" Type="http://schemas.openxmlformats.org/officeDocument/2006/relationships/hyperlink" Target="https://ems-market.ru/catalog/ustrojstva_zasity_plavkie_predohraniteli_modul_nye_ustrojstvamontaznye_ustrojstva/vstavka_cilindriceskogo_predohranitela/vstavka_plavkaya_npn2_60_63a_u3_keaz_110781/" TargetMode="External"/><Relationship Id="rId348" Type="http://schemas.openxmlformats.org/officeDocument/2006/relationships/hyperlink" Target="https://aps-shop.ru/plavkaya-vstavka-npn-2-60-63a-110781-keaz/" TargetMode="External"/><Relationship Id="rId349" Type="http://schemas.openxmlformats.org/officeDocument/2006/relationships/hyperlink" Target="https://orenburg.kupi.ru/product/204-predokhranitel-plavkaya-764673757/" TargetMode="External"/><Relationship Id="rId350" Type="http://schemas.openxmlformats.org/officeDocument/2006/relationships/hyperlink" Target="https://electrika-dom-stroyka.ru/catalog/provoda-s-mednoy-tokoprovodyashchey-zhiloy/alfakabel-provod-soedinitelnyy-pvs-3kh2-5-trts/?ysclid=lnn2tuef1v442949685" TargetMode="External"/><Relationship Id="rId351" Type="http://schemas.openxmlformats.org/officeDocument/2006/relationships/hyperlink" Target="https://novorossiysk.vseinstrumenti.ru/product/provod-pvs-alfakabel-3h2-5-mm-gost-10-m-05050-1490622/?ysclid=lnn2t7aeru675663942" TargetMode="External"/><Relationship Id="rId352" Type="http://schemas.openxmlformats.org/officeDocument/2006/relationships/hyperlink" Target="https://www.etm.ru/cat/nn/7257354" TargetMode="External"/><Relationship Id="rId353" Type="http://schemas.openxmlformats.org/officeDocument/2006/relationships/hyperlink" Target="https://www.vseinstrumenti.ru/product/svetodiodnyj-prozhektor-gauss-elementary-100w-9475lm-ip65-4000k-chernyj-1-4-613100110-1651565/" TargetMode="External"/><Relationship Id="rId354" Type="http://schemas.openxmlformats.org/officeDocument/2006/relationships/hyperlink" Target="https://www.etm.ru/cat/nn/8135092?city=77" TargetMode="External"/><Relationship Id="rId355" Type="http://schemas.openxmlformats.org/officeDocument/2006/relationships/hyperlink" Target="https://ledpremium.ru/catalog/day_white_foodlight/prozhektor_gauss_elementary_100w_9475lm_4000k_175_265v_ip65_chernyy_led/" TargetMode="External"/><Relationship Id="rId356" Type="http://schemas.openxmlformats.org/officeDocument/2006/relationships/hyperlink" Target="https://www.etm.ru/cat/nn/6109840" TargetMode="External"/><Relationship Id="rId357" Type="http://schemas.openxmlformats.org/officeDocument/2006/relationships/hyperlink" Target="https://elektrostandard.net/catalog/prozhektor_svetodiodnyy_ul_00007122_uniel_30w_ulf_f60_30w_rgb_ip65_200_240v_black/" TargetMode="External"/><Relationship Id="rId358" Type="http://schemas.openxmlformats.org/officeDocument/2006/relationships/hyperlink" Target="https://mnogo-santehniki.ru/m634/p22040185?utm_referrer=https%3A%2F%2Fyandex.ru%2Fsearch%2F%3Ftext%3D%25D0%25A1%25D0%25B2%25D0%25B5%25D1%2582%25D0%25BE%25D0%25B4%25D0%25B8%25D0%25BE%25D0%25B4%25D0%25BD%25D1%258B%25D0%25B9%2B%25D0%25BF%25D1%2580%25D0%25BE%" TargetMode="External"/><Relationship Id="rId359" Type="http://schemas.openxmlformats.org/officeDocument/2006/relationships/hyperlink" Target="https://feron-russia.ru/svetodiodnyj-prozhektor-feron-ll-926-ip65-300w-6400k" TargetMode="External"/><Relationship Id="rId360" Type="http://schemas.openxmlformats.org/officeDocument/2006/relationships/hyperlink" Target="https://www.onlinetrade.ru/catalogue/prozhektory-c1495/feron/prozhektor_feron_ll_926_300w_6400k_29501_29501_feron-2618395.html" TargetMode="External"/><Relationship Id="rId361" Type="http://schemas.openxmlformats.org/officeDocument/2006/relationships/hyperlink" Target="https://www.dialelectro.ru/catalog/svetodiodnye-prozhektory-/svetodiodnyy-prozhektor-feron-ll-926-ip65-300w-6400k/" TargetMode="External"/><Relationship Id="rId362" Type="http://schemas.openxmlformats.org/officeDocument/2006/relationships/hyperlink" Target="https://innokor.ru/catalog/svetodiodnye-prozhektory/50vt/svetodiodnyy_prozhektor_pfl_as_50w_4000k_ip65/" TargetMode="External"/><Relationship Id="rId363" Type="http://schemas.openxmlformats.org/officeDocument/2006/relationships/hyperlink" Target="https://dc-electro.ru/catalog/products/prozhektor-svetodiodnyy-pfl-s2-smd-50w-50vt-ip65-s-klapanom-jazzway-2853301d/" TargetMode="External"/><Relationship Id="rId364" Type="http://schemas.openxmlformats.org/officeDocument/2006/relationships/hyperlink" Target="https://www.citilink.ru/product/prozhektor-ulichnyi-gauss-elementary-613527100-100vtchernyi-1382375/" TargetMode="External"/><Relationship Id="rId365" Type="http://schemas.openxmlformats.org/officeDocument/2006/relationships/hyperlink" Target="https://leroymerlin.ru/product/prozhektor-svetodiodnyy-ulichnyy-uniel-f20-ul-00005157-6500-k-ip65-15000-lm-93809091/" TargetMode="External"/><Relationship Id="rId366" Type="http://schemas.openxmlformats.org/officeDocument/2006/relationships/hyperlink" Target="https://ledpremium.ru/catalog/kholodnyy_belyy/philips_bvp150_led127_cw_150w_220_240v_4_160/" TargetMode="External"/><Relationship Id="rId367" Type="http://schemas.openxmlformats.org/officeDocument/2006/relationships/hyperlink" Target="https://www.onlinetrade.ru/catalogue/prozhektory-c1495/uniel/prozhektor_uniel_ulf_f20_150w_4000k_ip65_195_250v_black_ul_00005156-2088377.html" TargetMode="External"/><Relationship Id="rId368" Type="http://schemas.openxmlformats.org/officeDocument/2006/relationships/hyperlink" Target="https://www.vseinstrumenti.ru/product/svetodiodnyj-prozhektor-gauss-elementary-s-30w-2100lm-6500k-175-265v-ip65-chernyj-s-datchikom-dvizheniya-led-1-20-sq628511330-942646/" TargetMode="External"/><Relationship Id="rId369" Type="http://schemas.openxmlformats.org/officeDocument/2006/relationships/hyperlink" Target="https://ledpremium.ru/catalog/kholodnyy_belyy/prozhektor_svetodiodnyy_qplus_30vt_6500k_2550lm_ip65_grafit_ser_1_10_gauss_690511330/" TargetMode="External"/><Relationship Id="rId370" Type="http://schemas.openxmlformats.org/officeDocument/2006/relationships/hyperlink" Target="https://stavropol.220-volt.ru/catalog-580244/" TargetMode="External"/><Relationship Id="rId371" Type="http://schemas.openxmlformats.org/officeDocument/2006/relationships/hyperlink" Target="https://www.vseinstrumenti.ru/product/samorez-bullit-shsmm-pressshajba-sverlo-4-2x16-200-sht-pl-kont-280-ml-14-0019090-1063063/" TargetMode="External"/><Relationship Id="rId372" Type="http://schemas.openxmlformats.org/officeDocument/2006/relationships/hyperlink" Target="https://www.mdm-complect.ru/catalog/samorezy/8917/" TargetMode="External"/><Relationship Id="rId373" Type="http://schemas.openxmlformats.org/officeDocument/2006/relationships/hyperlink" Target="https://1001krep.ru/samorez-din-7504p-s-potaynoy-golovkoy-sverlom-nerzh-a2-3-5x16mm-artikul-57168" TargetMode="External"/><Relationship Id="rId374" Type="http://schemas.openxmlformats.org/officeDocument/2006/relationships/hyperlink" Target="https://stavropol.leroymerlin.ru/product/samorezy-s-press-shayboy-standers-42x25-ocinkovannye-s-ostrym-nakonechnikom-82182112/" TargetMode="External"/><Relationship Id="rId375" Type="http://schemas.openxmlformats.org/officeDocument/2006/relationships/hyperlink" Target="https://krepcom.ru/catalog/samorezy/samorezyi_4_2h25_pressshayba__sverlo__tsink_10000_.htm" TargetMode="External"/><Relationship Id="rId376" Type="http://schemas.openxmlformats.org/officeDocument/2006/relationships/hyperlink" Target="https://mnogo-santehniki.ru/m553/p14716?utm_referrer=https%3A%2F%2Fyandex.ru%2Fsearch%2F%3Ftext%3D%25D1%2581%25D0%25B0%25D0%25BC%25D0%25BE%25D1%2580%25D0%25B5%25D0%25B7%25D1%258B%2B%25D1%2581%2B%25D0%25BF%25D1%2580%25D0%25B5%25D1%2581%25D1%2581-%25D1%2588" TargetMode="External"/><Relationship Id="rId377" Type="http://schemas.openxmlformats.org/officeDocument/2006/relationships/hyperlink" Target="https://leroymerlin.ru/product/samorezy-s-press-shayboy-standers-42x32-ocinkovannye-s-ostrym-nakonechnikom-82182121/" TargetMode="External"/><Relationship Id="rId378" Type="http://schemas.openxmlformats.org/officeDocument/2006/relationships/hyperlink" Target="https://www.etm.ru/cat/nn/2047905?city=77" TargetMode="External"/><Relationship Id="rId379" Type="http://schemas.openxmlformats.org/officeDocument/2006/relationships/hyperlink" Target="https://mnogo-santehniki.ru/m553/p14667" TargetMode="External"/><Relationship Id="rId380" Type="http://schemas.openxmlformats.org/officeDocument/2006/relationships/hyperlink" Target="https://energo-vector.ru/catalog/ofisnye-svetodiodnye-svetilniki/svetilniki-armstrong/1100/" TargetMode="External"/><Relationship Id="rId381" Type="http://schemas.openxmlformats.org/officeDocument/2006/relationships/hyperlink" Target="https://colorsvet.ru/svetodiodnye-svetilniki-armstrong-595x595/svetodiodnyj-svetilnik-varton-a070-27w-ip20-3000k-v1-a0-00070-01000-2002730" TargetMode="External"/><Relationship Id="rId382" Type="http://schemas.openxmlformats.org/officeDocument/2006/relationships/hyperlink" Target="https://inventrade.ru/catalog/vnutrennee_osveshchenie/ofisnoe_osveshchenie/varton_a070/" TargetMode="External"/><Relationship Id="rId383" Type="http://schemas.openxmlformats.org/officeDocument/2006/relationships/hyperlink" Target="http://comoflight.com/ulichnyy-svetilnik-matrix-s-150/?ysclid=lnnebctuin317572966" TargetMode="External"/><Relationship Id="rId384" Type="http://schemas.openxmlformats.org/officeDocument/2006/relationships/hyperlink" Target="http://td-intesso.regtorg.ru/catalog/ulichnyj_svetodiodnyj_svetilnik_matrix_s150-154355.htm" TargetMode="External"/><Relationship Id="rId385" Type="http://schemas.openxmlformats.org/officeDocument/2006/relationships/hyperlink" Target="https://td-intesso.ctly.ru/products/b3691763-matrix-s-150-svetilnik-ulichnyy-svetodiodnyy" TargetMode="External"/><Relationship Id="rId386" Type="http://schemas.openxmlformats.org/officeDocument/2006/relationships/hyperlink" Target="https://www.vseinstrumenti.ru/product/lampa-gauss-led-elementary-a60-15w-e27-1480lm-6500k-23235-942504/" TargetMode="External"/><Relationship Id="rId387" Type="http://schemas.openxmlformats.org/officeDocument/2006/relationships/hyperlink" Target="https://www.etm.ru/cat/nn/8532745" TargetMode="External"/><Relationship Id="rId388" Type="http://schemas.openxmlformats.org/officeDocument/2006/relationships/hyperlink" Target="https://leroymerlin.ru/product/lampa-svetodiodnaya-osram-grusha-15vt-1521lm-e27-holodnyy-belyy-svet-85099643/" TargetMode="External"/><Relationship Id="rId389" Type="http://schemas.openxmlformats.org/officeDocument/2006/relationships/hyperlink" Target="https://www.eldorado.ru/cat/detail/svetodiodnaya-lampa-era-led-smd-a60-10w-827-e27/" TargetMode="External"/><Relationship Id="rId390" Type="http://schemas.openxmlformats.org/officeDocument/2006/relationships/hyperlink" Target="https://www.onlinetrade.ru/catalogue/lampy_svetodiodnye-c4529/era/svetodiodnaya_lampa_era_led_smd_a60_10w_827_e27_6_30_1440-298841.html" TargetMode="External"/><Relationship Id="rId391" Type="http://schemas.openxmlformats.org/officeDocument/2006/relationships/hyperlink" Target="https://www.nix.ru/autocatalog/LED_Light_Bulbs_E27/ERA-smd-A60-15W-827-E27-E27-1300-lyumen-2700K-15Vt-170-265V_295702.html" TargetMode="External"/><Relationship Id="rId392" Type="http://schemas.openxmlformats.org/officeDocument/2006/relationships/hyperlink" Target="https://ledpremium.ru/catalog/nakladnye_svetilniki_zhkkh/svetilnik_svetodiodnyy_spo_102_32vt_230v_4000k_2400lm_1200mm_ip40_llt/" TargetMode="External"/><Relationship Id="rId393" Type="http://schemas.openxmlformats.org/officeDocument/2006/relationships/hyperlink" Target="https://top10deals.ru/product/pid/182011429/Svetodiodnyy-svetilnik-LLT-SPO-102-32Vt-4000K-2400Lm-119-sm" TargetMode="External"/><Relationship Id="rId394" Type="http://schemas.openxmlformats.org/officeDocument/2006/relationships/hyperlink" Target="https://lt-electro.ru/catalog/nakladnye/5641/" TargetMode="External"/><Relationship Id="rId395" Type="http://schemas.openxmlformats.org/officeDocument/2006/relationships/hyperlink" Target="https://moscow.propartner.ru/offers_market/7064629025" TargetMode="External"/><Relationship Id="rId396" Type="http://schemas.openxmlformats.org/officeDocument/2006/relationships/hyperlink" Target="https://e-kvadrat.ru/starter-127v" TargetMode="External"/><Relationship Id="rId397" Type="http://schemas.openxmlformats.org/officeDocument/2006/relationships/hyperlink" Target="https://zanex.ru/product/starter-127v-20s-127-1-15-6920-master-svet/4719c343e96060a341571213e94eb174" TargetMode="External"/><Relationship Id="rId398" Type="http://schemas.openxmlformats.org/officeDocument/2006/relationships/hyperlink" Target="https://krasnodar.specstali.ru/product/folga-latunnaja-dlja-pajki-l63-0-05-mm-gost-2208-2007-listovaja/" TargetMode="External"/><Relationship Id="rId399" Type="http://schemas.openxmlformats.org/officeDocument/2006/relationships/hyperlink" Target="https://metall-77.ru/folga-latunnaya" TargetMode="External"/><Relationship Id="rId400" Type="http://schemas.openxmlformats.org/officeDocument/2006/relationships/hyperlink" Target="https://snabservis.ru/catalog/latunnaya-folga/" TargetMode="External"/><Relationship Id="rId401" Type="http://schemas.openxmlformats.org/officeDocument/2006/relationships/hyperlink" Target="https://www.chipdip.ru/product0/8020896219?ysclid=lnn6nxbnt8164677727" TargetMode="External"/><Relationship Id="rId402" Type="http://schemas.openxmlformats.org/officeDocument/2006/relationships/hyperlink" Target="https://www.etm.ru/cat/nn/1305885" TargetMode="External"/><Relationship Id="rId403" Type="http://schemas.openxmlformats.org/officeDocument/2006/relationships/hyperlink" Target="https://novorossiysk.vseinstrumenti.ru/product/lentochnaya-homut-styazhka-gigant-3-6h200-chernyj-100-sht-g-1-4-2037732/?ysclid=lnn6ov04tq668499250" TargetMode="External"/><Relationship Id="rId404" Type="http://schemas.openxmlformats.org/officeDocument/2006/relationships/hyperlink" Target="https://www.chipdip.ru/product0/8000857412?ysclid=lnn6yrdvej14939793" TargetMode="External"/><Relationship Id="rId405" Type="http://schemas.openxmlformats.org/officeDocument/2006/relationships/hyperlink" Target="https://new.optorg.ru/catalog/elektrotehnicheskaya_produkciya/elektromontajnye_izdeliya/homuty_i_styajki_kabelnye/277580/?ysclid=lnn6y9w5n3226187849" TargetMode="External"/><Relationship Id="rId406" Type="http://schemas.openxmlformats.org/officeDocument/2006/relationships/hyperlink" Target="https://www.etm.ru/cat/nn/9809407" TargetMode="External"/><Relationship Id="rId407" Type="http://schemas.openxmlformats.org/officeDocument/2006/relationships/hyperlink" Target="https://www.etm.ru/cat/nn/7210110" TargetMode="External"/><Relationship Id="rId408" Type="http://schemas.openxmlformats.org/officeDocument/2006/relationships/hyperlink" Target="https://rs24.ru/product/618902" TargetMode="External"/><Relationship Id="rId409" Type="http://schemas.openxmlformats.org/officeDocument/2006/relationships/hyperlink" Target="https://www.elektro.ru/product/styazhki_neylonovye_kss_5300_ch_100sht_fortisflex_49417_49417_2/?ysclid=lnn778h5gx266314908" TargetMode="External"/><Relationship Id="rId410" Type="http://schemas.openxmlformats.org/officeDocument/2006/relationships/hyperlink" Target="https://new.optorg.ru/catalog/elektrotehnicheskaya_produkciya/elektromontajnye_izdeliya/homuty_i_styajki_kabelnye/279809/" TargetMode="External"/><Relationship Id="rId411" Type="http://schemas.openxmlformats.org/officeDocument/2006/relationships/hyperlink" Target="https://tze1.ru/catalog/krepezh/spetsialnyy-krepezh/homuty-i-styazhki/homuty-plastikovye/homut-kabelnyy-7-6h500-neyl-bel-uhh31-d076-500-100/?ysclid=lnn7q3y240146790815" TargetMode="External"/><Relationship Id="rId412" Type="http://schemas.openxmlformats.org/officeDocument/2006/relationships/hyperlink" Target="https://www.minimaks.ru/product/styazhka-kabelnaya-khomut-500-7-6-neylon-iek-up-100sht-uhh31-d076-500-100/?ysclid=lnn7pvwvms421878260" TargetMode="External"/><Relationship Id="rId413" Type="http://schemas.openxmlformats.org/officeDocument/2006/relationships/hyperlink" Target="https://www.onlinetrade.ru/catalogue/shlangi-c3240/mi/shlang_sadovyy_rezinovyy_kordovyy_rukav_d_20_mm_50_m_67556_4620764605028-2149868.html" TargetMode="External"/><Relationship Id="rId414" Type="http://schemas.openxmlformats.org/officeDocument/2006/relationships/hyperlink" Target="https://liderstroyinstrument.ru/catalog/shlangi-dlya-nasosnogo-oborudovaniya/shlang-polivochnyy-rezin-kord-armirov-50-m-bukhta-d-20mm-rostov/" TargetMode="External"/><Relationship Id="rId415" Type="http://schemas.openxmlformats.org/officeDocument/2006/relationships/hyperlink" Target="https://www.vseinstrumenti.ru/product/polivochnyj-shlang-novem-tep-20-mm-h-50-m-20-0-5-vg-1927050/" TargetMode="External"/><Relationship Id="rId416" Type="http://schemas.openxmlformats.org/officeDocument/2006/relationships/hyperlink" Target="https://www.etm.ru/cat/nn/5855615?ysclid=lnn5m5mzts973605632&amp;city=77" TargetMode="External"/><Relationship Id="rId417" Type="http://schemas.openxmlformats.org/officeDocument/2006/relationships/hyperlink" Target="https://rs24.ru/product/749486" TargetMode="External"/><Relationship Id="rId418" Type="http://schemas.openxmlformats.org/officeDocument/2006/relationships/hyperlink" Target="https://www.vseinstrumenti.ru/product/montazhnyj-klej-ceresit-cb-10-1864068-3014720/" TargetMode="External"/><Relationship Id="rId419" Type="http://schemas.openxmlformats.org/officeDocument/2006/relationships/hyperlink" Target="https://ts-krovizol.ru/catalog/product/akrilovyy-montazhnyy-kley-ceresit-cb-10-400-gr/" TargetMode="External"/><Relationship Id="rId420" Type="http://schemas.openxmlformats.org/officeDocument/2006/relationships/hyperlink" Target="https://www.stroyshopper.ru/product/klej_montazhnyj_akrilovyj_ceresit_cb_10/" TargetMode="External"/><Relationship Id="rId421" Type="http://schemas.openxmlformats.org/officeDocument/2006/relationships/hyperlink" Target="https://www.mirkrasok.ru/product/ceresit_cn_178_tserezit_smes_legko_vyravnivayushchayasya/sku_184941/" TargetMode="External"/><Relationship Id="rId422" Type="http://schemas.openxmlformats.org/officeDocument/2006/relationships/hyperlink" Target="https://profiplitka.ru/product/ceresit-cn-76-vysokoprochnaja-samovyravnivajuschajasja-tsementnaja-smes-ot-4-do-15-50-mm-25-kg/" TargetMode="External"/><Relationship Id="rId423" Type="http://schemas.openxmlformats.org/officeDocument/2006/relationships/hyperlink" Target="https://ts-krovizol.ru/catalog/product/samovyravnivayushchayasya-tsementnaya-smes-ceresit-cn-76-25-kg/?utm_source=stroyportal&amp;utm_medium=tag&amp;utm_campaign=moskva&amp;utm_term=1584431348722160720&amp;utm_content=24525&amp;strprtl=8fec4d06960f903a983c8359bb307ba9" TargetMode="External"/><Relationship Id="rId424" Type="http://schemas.openxmlformats.org/officeDocument/2006/relationships/hyperlink" Target="https://www.mirkrasok.ru/product/ceresit_cs_24_premium_universal_tserezit_germetik_silikonovyy_universalnyy/" TargetMode="External"/><Relationship Id="rId425" Type="http://schemas.openxmlformats.org/officeDocument/2006/relationships/hyperlink" Target="https://www.kraski-market.ru/catalog/germetiki_i_montazhnaya_pena/silikonovye_germetiki/" TargetMode="External"/><Relationship Id="rId426" Type="http://schemas.openxmlformats.org/officeDocument/2006/relationships/hyperlink" Target="https://www.kraski-market.ru/catalog/germetiki_i_montazhnaya_pena/silikonovye_germetiki/ceresit_cs_24_premium_universal_germetik_universalnyy_silikonovyy_prozrachnyy_280ml" TargetMode="External"/><Relationship Id="rId427" Type="http://schemas.openxmlformats.org/officeDocument/2006/relationships/hyperlink" Target="https://ceresit-russia.ru/ceresit-ct29-fasovka-25-kg/" TargetMode="External"/><Relationship Id="rId428" Type="http://schemas.openxmlformats.org/officeDocument/2006/relationships/hyperlink" Target="https://rdstroy.ru/catalog/shpatlevki_tsementnye/ct_225_25_shpatlyevka_fasad_finish_belaya_48_sht_pod_ceresit/" TargetMode="External"/><Relationship Id="rId429" Type="http://schemas.openxmlformats.org/officeDocument/2006/relationships/hyperlink" Target="https://alea.shop/shpaklevka-cementnaya-belaya-ceresit-st-225-25-kg/" TargetMode="External"/><Relationship Id="rId430" Type="http://schemas.openxmlformats.org/officeDocument/2006/relationships/hyperlink" Target="https://rdstroy.ru/catalog/shtukaturki_tsementnye/ct_29_25_shtukat_i_remont_shpatlyevka_25_kg_48sht_pod_ceresit/" TargetMode="External"/><Relationship Id="rId431" Type="http://schemas.openxmlformats.org/officeDocument/2006/relationships/hyperlink" Target="https://ru-ceresit.com/ceresit-ct-29-2/" TargetMode="External"/><Relationship Id="rId432" Type="http://schemas.openxmlformats.org/officeDocument/2006/relationships/hyperlink" Target="https://rdstroy.ru/catalog/shtukaturki_tsementnye/ct_29_25_shtukat_i_remont_shpatlyevka_25_kg_48sht_pod_ceresit/" TargetMode="External"/><Relationship Id="rId433" Type="http://schemas.openxmlformats.org/officeDocument/2006/relationships/hyperlink" Target="https://ceresit-market.ru/catalog/klei-dlya-plitki/cm-14-extra-kley-d-plitki/" TargetMode="External"/><Relationship Id="rId434" Type="http://schemas.openxmlformats.org/officeDocument/2006/relationships/hyperlink" Target="https://www.mirkrasok.ru/product/ceresit_cm_14_extra_tserezit_kley_dlya_plitki_i_keramogranita/" TargetMode="External"/><Relationship Id="rId435" Type="http://schemas.openxmlformats.org/officeDocument/2006/relationships/hyperlink" Target="https://profiplitka.ru/product/ceresit-sm-14-extra-25-kg/" TargetMode="External"/><Relationship Id="rId436" Type="http://schemas.openxmlformats.org/officeDocument/2006/relationships/hyperlink" Target="https://kraskivmoskve.ru/product/ceresit-ts-62tserezit-ts-62-universalnaya-montazhnaya-pena" TargetMode="External"/><Relationship Id="rId437" Type="http://schemas.openxmlformats.org/officeDocument/2006/relationships/hyperlink" Target="https://ceresitshop.ru/catalog/penyi-germetiki-klei/penyi/ceresit-ts-62" TargetMode="External"/><Relationship Id="rId438" Type="http://schemas.openxmlformats.org/officeDocument/2006/relationships/hyperlink" Target="https://www-fasad.ru/pena-montazhnaya-ceresit-ts-62-universalnaya-750-ml/" TargetMode="External"/><Relationship Id="rId439" Type="http://schemas.openxmlformats.org/officeDocument/2006/relationships/hyperlink" Target="https://moscow.petrovich.ru/product/102860/?ysclid=lnn6bm9c4n822490262" TargetMode="External"/><Relationship Id="rId440" Type="http://schemas.openxmlformats.org/officeDocument/2006/relationships/hyperlink" Target="https://www.termokit.ru/product/zatirka_ceresit_se_40_2_aquastatic_vodoottalkivayushchaya_belaya_01_2_kg.htm" TargetMode="External"/><Relationship Id="rId441" Type="http://schemas.openxmlformats.org/officeDocument/2006/relationships/hyperlink" Target="https://www.kraski.ru/catalog/ceresit_se_40_aquastatic_tserezit_tse_40_akvasatik_zatirka_dlya_shvov_do_10_mm_vodoottalkivayushchaya/?ysclid=lnn6bk9zgx457384661" TargetMode="External"/><Relationship Id="rId442" Type="http://schemas.openxmlformats.org/officeDocument/2006/relationships/hyperlink" Target="https://www.chipdip.ru/product0/8008857921" TargetMode="External"/><Relationship Id="rId443" Type="http://schemas.openxmlformats.org/officeDocument/2006/relationships/hyperlink" Target="https://novorossiysk.vseinstrumenti.ru/product/grunt-emal-po-rzhavchine-hardmax-korroed-ral-5015-goluboj-banka-0-9-kg-1-sht-4690417077977-1853240/" TargetMode="External"/><Relationship Id="rId444" Type="http://schemas.openxmlformats.org/officeDocument/2006/relationships/hyperlink" Target="https://uni-fitt.shop/collection/baki-membannye/baki-rasshiritelnye-reflex/8210500.html?ysclid=lnn1xbpop1865454036" TargetMode="External"/><Relationship Id="rId445" Type="http://schemas.openxmlformats.org/officeDocument/2006/relationships/hyperlink" Target="https://teplo-com.ru/catalog/179460/" TargetMode="External"/><Relationship Id="rId446" Type="http://schemas.openxmlformats.org/officeDocument/2006/relationships/hyperlink" Target="https://www.teremonline.ru/catalog/inzhenernaya-santekhnika/membrannye-baki/3524_dlya-sistem-otopleniya/reflex-membrannyy-bak-s-100/?ysclid=lnn1x7fqoo281338246" TargetMode="External"/><Relationship Id="rId447" Type="http://schemas.openxmlformats.org/officeDocument/2006/relationships/hyperlink" Target="https://zamkitut.ru/catalog/zamki/navesnye-zamki/chaz/navesnoy-zamok-chaz-vs2a/" TargetMode="External"/><Relationship Id="rId448" Type="http://schemas.openxmlformats.org/officeDocument/2006/relationships/hyperlink" Target="https://vertical.ru/product/navesnoy-zamok-chaz-vs2a/" TargetMode="External"/><Relationship Id="rId449" Type="http://schemas.openxmlformats.org/officeDocument/2006/relationships/hyperlink" Target="https://zamki34.ru/collection/zamki-navesnye-trosovye/product/zamok-navesnoy-chaz-vs2a-5665" TargetMode="External"/><Relationship Id="rId450" Type="http://schemas.openxmlformats.org/officeDocument/2006/relationships/hyperlink" Target="https://megamarket.ru/catalog/details/kraska-vgt-akrilovaya-vd-ak-1180-fasadnaya-superbelaya-vlagostoykaya-matovaya-bescvetnyy-13-kg-100051813645/?utm_source=yandex&amp;utm_medium=cpc&amp;utm_campaign=smm_search_dsa%3A4_stroitelstvo_i_remont_cb_%5Bregions%5D_%7C8" TargetMode="External"/><Relationship Id="rId451" Type="http://schemas.openxmlformats.org/officeDocument/2006/relationships/hyperlink" Target="https://nevinnomyssk.kupi.ru/product/180-kraska-fasadnaya-vdak-brigada-753362282/" TargetMode="External"/><Relationship Id="rId452" Type="http://schemas.openxmlformats.org/officeDocument/2006/relationships/hyperlink" Target="https://radugakraski.ru/katalog/kraski/dlya-mineralnyh-fasadov/vdak-1180z/?oid=19643" TargetMode="External"/><Relationship Id="rId453" Type="http://schemas.openxmlformats.org/officeDocument/2006/relationships/hyperlink" Target="https://oknabm.ru/catalog/accessories/steklopaket/odnokamernye-steklopakety/1k-steklopaket-4-16-4/" TargetMode="External"/><Relationship Id="rId454" Type="http://schemas.openxmlformats.org/officeDocument/2006/relationships/hyperlink" Target="https://www.relit.ru/price-replace-window.htm" TargetMode="External"/><Relationship Id="rId455" Type="http://schemas.openxmlformats.org/officeDocument/2006/relationships/hyperlink" Target="https://www.eurookna.ru/steklopakety/tsena-za-m2/" TargetMode="External"/><Relationship Id="rId456" Type="http://schemas.openxmlformats.org/officeDocument/2006/relationships/hyperlink" Target="https://new.optorg.ru/catalog/stroitelnye_i_otdelochnye_materialy/suhie_stroitelnye_smesi/shpatlevka/270086/" TargetMode="External"/><Relationship Id="rId457" Type="http://schemas.openxmlformats.org/officeDocument/2006/relationships/hyperlink" Target="https://nvs-stroy.ru/catalogue/11102/6440/?ysclid=lnn04m2n59102945093" TargetMode="External"/><Relationship Id="rId458" Type="http://schemas.openxmlformats.org/officeDocument/2006/relationships/hyperlink" Target="https://gorodmasterov23.ru/shop/stroitelnye-i-otdelochnye-materialy/suhie-smesi/shpatlevki/abs-saten-inter-shpatlevka-5-0-kg/?ysclid=lnn07ta0q9177616528" TargetMode="External"/><Relationship Id="rId459" Type="http://schemas.openxmlformats.org/officeDocument/2006/relationships/hyperlink" Target="https://new.optorg.ru/catalog/instrument_i_oborudovanie/elektrosvarochnoe_oborudovanie/elektrody/242388/" TargetMode="External"/><Relationship Id="rId460" Type="http://schemas.openxmlformats.org/officeDocument/2006/relationships/hyperlink" Target="https://www.svarcka.ru/svarochnye-materialy/elektrody-dlya-svarki/3-1-381-detail.html" TargetMode="External"/><Relationship Id="rId461" Type="http://schemas.openxmlformats.org/officeDocument/2006/relationships/hyperlink" Target="https://krasnodar.vseinstrumenti.ru/product/elektrody-svarochnye-ano-21-1-kg-3-mm-tigarbo-te-213010009-1933705/?ysclid=lnmzpk2gss399476481" TargetMode="External"/><Relationship Id="rId462" Type="http://schemas.openxmlformats.org/officeDocument/2006/relationships/drawing" Target="../drawings/drawing1.xml"/><Relationship Id="rId463" Type="http://schemas.openxmlformats.org/officeDocument/2006/relationships/vmlDrawing" Target="../drawings/vmlDrawing1.vm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https://www.magazin-krasok.com/polirovka/autokosmetika/motorhim/11abr-abro.html" TargetMode="External"/><Relationship Id="rId3" Type="http://schemas.openxmlformats.org/officeDocument/2006/relationships/hyperlink" Target="https://avsila.ru/catalog/masla-avtokosmetika-avtokhimiya/germetiki/germetik-abro-silikonovyy-krasnyy-85-gr-original-11ab-r/?ysclid=lnna30tmkz989350706" TargetMode="External"/><Relationship Id="rId4" Type="http://schemas.openxmlformats.org/officeDocument/2006/relationships/hyperlink" Target="https://www.avtoall.ru/germetik_krasnyiy_silikonovyiy_vysokotemperaturnyiy_85g_abro-481831/?ysclid=lnna2yqqvs230393224" TargetMode="External"/><Relationship Id="rId5" Type="http://schemas.openxmlformats.org/officeDocument/2006/relationships/hyperlink" Target="https://novorossiysk.vseinstrumenti.ru/product/grunt-emal-po-rzhavchine-hardmax-korroed-ral-7040-okonnyj-seryj-banka-1-9-kg-1-sht-4690417071739-1853434/" TargetMode="External"/><Relationship Id="rId6" Type="http://schemas.openxmlformats.org/officeDocument/2006/relationships/hyperlink" Target="https://www.chipdip.ru/product0/8018241711?ysclid=lnncntmipn274156882" TargetMode="External"/><Relationship Id="rId7" Type="http://schemas.openxmlformats.org/officeDocument/2006/relationships/hyperlink" Target="https://avtomaster66.ru/catalog/grunty_1/grunt_emal_mister_hammer_hardmax_korroed_ral_7040_okonnyy_seryy_po_rzhavchine_1l_0_9kg_kvil/" TargetMode="External"/><Relationship Id="rId8" Type="http://schemas.openxmlformats.org/officeDocument/2006/relationships/hyperlink" Target="https://avtomaster66.ru/catalog/grunty_1/grunt_emal_mister_hammer_hardmax_korroed_ral_5015_goluboy_po_rzhavchine_1l_0_9kg_kvil_/" TargetMode="External"/><Relationship Id="rId9" Type="http://schemas.openxmlformats.org/officeDocument/2006/relationships/hyperlink" Target="https://www.chipdip.ru/product0/8008857921" TargetMode="External"/><Relationship Id="rId10" Type="http://schemas.openxmlformats.org/officeDocument/2006/relationships/hyperlink" Target="https://novorossiysk.vseinstrumenti.ru/product/grunt-emal-po-rzhavchine-hardmax-korroed-ral-5015-goluboj-banka-0-9-kg-1-sht-4690417077977-1853240/" TargetMode="External"/><Relationship Id="rId11" Type="http://schemas.openxmlformats.org/officeDocument/2006/relationships/hyperlink" Target="https://mstroy.ru/catalog/lakokrasochnye_materialy/emali/emali_po_rzhavchine_kvil/grunt_emal_gladkaya/grunt_emal_gladkaya_korroed_po_rzhavchine_ral5005_siniy_1_9kg/?ysclid=lr95vr8m1h18883673" TargetMode="External"/><Relationship Id="rId12" Type="http://schemas.openxmlformats.org/officeDocument/2006/relationships/hyperlink" Target="https://ptcpro.ru/catalog/grunt_emal_po_rzhavchine/9278/?ysclid=lr95vcrrtb830438952" TargetMode="External"/><Relationship Id="rId13" Type="http://schemas.openxmlformats.org/officeDocument/2006/relationships/hyperlink" Target="https://tulasnab.ru/grunt-emal-korroed-mister-hardmax-ral-5005-sinij-po-rgavchine-19kg-kvil" TargetMode="External"/><Relationship Id="rId14" Type="http://schemas.openxmlformats.org/officeDocument/2006/relationships/hyperlink" Target="https://www.chipdip.ru/product0/8018241708?ysclid=lnnc3szz4c293021830" TargetMode="External"/><Relationship Id="rId15" Type="http://schemas.openxmlformats.org/officeDocument/2006/relationships/hyperlink" Target="https://avtomaster66.ru/catalog/grunty_1/grunt_emal_mister_hammer_hardmax_korroed_ral_3011_krasno_korichnevaya_po_rzhavchine_1l_0_9kg_kvil/?ysclid=lnnc6qp3ku546632107" TargetMode="External"/><Relationship Id="rId16" Type="http://schemas.openxmlformats.org/officeDocument/2006/relationships/hyperlink" Target="https://novorossiysk.vseinstrumenti.ru/product/grunt-emal-po-rzhavchine-hardmax-korroed-ral-3011-krasno-korichnevyj-banka-0-9-kg-1-sht-4690417071241-1853225/" TargetMode="External"/><Relationship Id="rId17" Type="http://schemas.openxmlformats.org/officeDocument/2006/relationships/hyperlink" Target="https://ptcpro.ru/catalog/grunt_emal_po_rzhavchine/9277/?ysclid=lr974d4cvw826429706" TargetMode="External"/><Relationship Id="rId18" Type="http://schemas.openxmlformats.org/officeDocument/2006/relationships/hyperlink" Target="https://www.vseinstrumenti.ru/product/grunt-emal-po-rzhavchine-hardmax-korroed-ral-3011-krasno-korichnevyj-banka-1-9-kg-1-sht-4690417071258-1853226/?ysclid=lr970b2cvx643770471" TargetMode="External"/><Relationship Id="rId19" Type="http://schemas.openxmlformats.org/officeDocument/2006/relationships/hyperlink" Target="https://www.chipdip.ru/product0/8018241705" TargetMode="External"/><Relationship Id="rId20" Type="http://schemas.openxmlformats.org/officeDocument/2006/relationships/hyperlink" Target="https://www.kirelis.ru/catalog/kolca/vtylki-myvp/id_30848/" TargetMode="External"/><Relationship Id="rId21" Type="http://schemas.openxmlformats.org/officeDocument/2006/relationships/hyperlink" Target="https://antisplash.ru/koltso-uprugoe-muvp-k3-35kh18kh9kh4-5" TargetMode="External"/><Relationship Id="rId22" Type="http://schemas.openxmlformats.org/officeDocument/2006/relationships/hyperlink" Target="https://rezina74.ru/catalog/uplotnitelnyye-koltsa/koltsa-i-vtulki-muvp/103553/?ysclid=lr98kh57eb461942727" TargetMode="External"/><Relationship Id="rId23" Type="http://schemas.openxmlformats.org/officeDocument/2006/relationships/hyperlink" Target="https://antisplash.ru/koltso-uprugoe-muvp-k3-35kh18kh9kh4-5?yclid=4043379713605631999" TargetMode="External"/><Relationship Id="rId24" Type="http://schemas.openxmlformats.org/officeDocument/2006/relationships/hyperlink" Target="https://www.kirelis.ru/catalog/kolca/vtylki-myvp/id_30848/?ysclid=lr98k0o2hp926239490" TargetMode="External"/><Relationship Id="rId25" Type="http://schemas.openxmlformats.org/officeDocument/2006/relationships/hyperlink" Target="https://aquacentr18.ru/catalog/zapornaya_armatura/kran_sharovyy_du15_gg_babochka_pro_aqua/" TargetMode="External"/><Relationship Id="rId26" Type="http://schemas.openxmlformats.org/officeDocument/2006/relationships/hyperlink" Target="https://stmgroup.ru/goods/kran-sarovyj-vn-vn-12-bab-pro-aqua-fwb63-f15-f15x?ysclid=lnn0hvtj5u790161172" TargetMode="External"/><Relationship Id="rId27" Type="http://schemas.openxmlformats.org/officeDocument/2006/relationships/hyperlink" Target="https://www.etm.ru/cat/nn/6219190?ysclid=lnn0i717kf57925310&amp;city=77" TargetMode="External"/><Relationship Id="rId28" Type="http://schemas.openxmlformats.org/officeDocument/2006/relationships/hyperlink" Target="https://www.etm.ru/cat/nn/2386322?ysclid=lnn17vsbvg856756019&amp;city=77" TargetMode="External"/><Relationship Id="rId29" Type="http://schemas.openxmlformats.org/officeDocument/2006/relationships/hyperlink" Target="https://novorossiysk.vseinstrumenti.ru/product/sharovoj-polnoprohodnoj-kran-pro-aqua-v-v-ruchka-rychag-1-fwl51-f25-f25x-978114/?ysclid=lnn119nu9u716721344" TargetMode="External"/><Relationship Id="rId30" Type="http://schemas.openxmlformats.org/officeDocument/2006/relationships/hyperlink" Target="https://www.teremonline.ru/catalog/inzhenernaya-santekhnika/zapornoreguliruyushchaya-armatura/1673_krany-sharovye/pro-aqua-fwl51f25f25x-pro-aqua-d-1-kran-sharovoy-polnoprokhodnoy-ruchkarychag-vv/?ysclid=lnn11fl0aw223348086" TargetMode="External"/><Relationship Id="rId31" Type="http://schemas.openxmlformats.org/officeDocument/2006/relationships/hyperlink" Target="https://www.proaqua.pro/catalog/armatura/sharovye-krany/sharovye-krany-spetsialnogo-naznacheniya/kran-uglovoy-s-160-patrubkom-dlya-shlanga-ruchka-rychag39/?ysclid=lnn1iukr2j945232635" TargetMode="External"/><Relationship Id="rId32" Type="http://schemas.openxmlformats.org/officeDocument/2006/relationships/hyperlink" Target="https://www.etm.ru/cat/nn/7406373?ysclid=lnn1j0vvah650562446&amp;city=77" TargetMode="External"/><Relationship Id="rId33" Type="http://schemas.openxmlformats.org/officeDocument/2006/relationships/hyperlink" Target="https://www.teremonline.ru/catalog/inzhenernaya-santekhnika/zapornoreguliruyushchaya-armatura/1673_krany-sharovye/pro-aqua-ewl55m15x-pro-aqua-d-12-kran-uglovoy-s-patrubkom-dlya-shlanga-ruchkarychag-n/?ysclid=lnn1ixv7ug729964205" TargetMode="External"/><Relationship Id="rId34" Type="http://schemas.openxmlformats.org/officeDocument/2006/relationships/hyperlink" Target="https://www.proaqua.pro/catalog/armatura/sharovye-krany/sharovye-krany-spetsialnogo-naznacheniya/kran-uglovoy-s-160-patrubkom-dlya-shlanga-ruchka-rychag39/?ysclid=lnn1iukr2j945232635" TargetMode="External"/><Relationship Id="rId35" Type="http://schemas.openxmlformats.org/officeDocument/2006/relationships/hyperlink" Target="https://www.etm.ru/cat/nn/6817682" TargetMode="External"/><Relationship Id="rId36" Type="http://schemas.openxmlformats.org/officeDocument/2006/relationships/hyperlink" Target="https://www.teremonline.ru/catalog/inzhenernaya-santekhnika/zapornoreguliruyushchaya-armatura/1673_krany-sharovye/pro-aqua-ewl55m20x-pro-aqua-d-34-kran-uglovoy-s-patrubkom-dlya-shlanga-ruchkarychag-n/" TargetMode="External"/><Relationship Id="rId37" Type="http://schemas.openxmlformats.org/officeDocument/2006/relationships/hyperlink" Target="https://snabinstrument.ru/catalog/abrazivnyy_instrument/izdeliya_iz_shlifshkurki/krugi_shlifovalnye/krugi_lepestkovye_tortsevye/krug_lepestkovyy_tortsevoy_klt2_125kh22_40n_r40_kk10khw_tu_3980_006_00223332_2006_baz/?ysclid=lra8ac92of558038666" TargetMode="External"/><Relationship Id="rId38" Type="http://schemas.openxmlformats.org/officeDocument/2006/relationships/hyperlink" Target="https://svarog-tk.ru/goods/abrasives/29/3321/?product=3321" TargetMode="External"/><Relationship Id="rId39" Type="http://schemas.openxmlformats.org/officeDocument/2006/relationships/hyperlink" Target="https://www.vseinstrumenti.ru/product/krug-lepestkovyj-tortsevoj-125x22-2-mm-p40-gigant-grf-40-1492522/?ysclid=lra88n68wk527561771" TargetMode="External"/><Relationship Id="rId40" Type="http://schemas.openxmlformats.org/officeDocument/2006/relationships/hyperlink" Target="https://ru.lukoil-shop.com/catalog/legkovye_avtomobili/motornye_masla/maslo_motornoe_lukoyl_super_15w_40_sg_cd/?ysclid=lozhj2wyln789992910" TargetMode="External"/><Relationship Id="rId41" Type="http://schemas.openxmlformats.org/officeDocument/2006/relationships/hyperlink" Target="https://www.vseinstrumenti.ru/product/motornoe-maslo-lukojl-avangard-sae-15w-40-api-cf-4-sg-5-l-19309-4825129/" TargetMode="External"/><Relationship Id="rId42" Type="http://schemas.openxmlformats.org/officeDocument/2006/relationships/hyperlink" Target="https://baza.drom.ru/vladivostok/chemistry/motoroil/lukojl-avangard-ultra-m3-sae-15w40-api-ci-4-sl-105001880.html" TargetMode="External"/><Relationship Id="rId43" Type="http://schemas.openxmlformats.org/officeDocument/2006/relationships/hyperlink" Target="https://megamarket.ru/catalog/details/maslo-motornoe-lukoil-19195-100001150034/?ysclid=lra95z7lkr929975457" TargetMode="External"/><Relationship Id="rId44" Type="http://schemas.openxmlformats.org/officeDocument/2006/relationships/hyperlink" Target="https://www.vseinstrumenti.ru/product/motornoe-maslo-lukojl-super-sae-15w-40-api-sg-cd-4-l-19195-3059288/?ysclid=lra8x7rpr92387993" TargetMode="External"/><Relationship Id="rId45" Type="http://schemas.openxmlformats.org/officeDocument/2006/relationships/hyperlink" Target="https://ru.lukoil-shop.com/catalog/legkovye_avtomobili/motornye_masla/maslo_motornoe_lukoyl_super_15w_40_sg_cd/?ysclid=lra8x2yo4t690392950" TargetMode="External"/><Relationship Id="rId46" Type="http://schemas.openxmlformats.org/officeDocument/2006/relationships/hyperlink" Target="https://vodaiteplo-online.ru/catalog/vodonagrevatel_thermex_drift_10_o/" TargetMode="External"/><Relationship Id="rId47" Type="http://schemas.openxmlformats.org/officeDocument/2006/relationships/hyperlink" Target="https://vodaiteplo-online.ru/catalog/vodonagrevatel_thermex_drift_10_o/?yclid=2242940148256866303" TargetMode="External"/><Relationship Id="rId48" Type="http://schemas.openxmlformats.org/officeDocument/2006/relationships/hyperlink" Target="https://shsl.ru/smesitel-dlya-vanny-s-dushem-psm-profsan-psm-150-k80-standart-b-tip-sm-vudrnshlr/?ysclid=loznv22ugh312817747" TargetMode="External"/><Relationship Id="rId49" Type="http://schemas.openxmlformats.org/officeDocument/2006/relationships/hyperlink" Target="https://yaropt24.ru/product/smesitel-dlya-vanny-sm-vudrnshla-ks-63007263-rossiya-kazan-gost-25809-96/" TargetMode="External"/><Relationship Id="rId50" Type="http://schemas.openxmlformats.org/officeDocument/2006/relationships/hyperlink" Target="https://www.vseinstrumenti.ru/product/smesitel-dlya-vanny-s-dushem-profsan-psm-tip-sm-vudrnshlr-psm-150-89-1651200/?ysclid=loznto0gsg531057395" TargetMode="External"/><Relationship Id="rId51" Type="http://schemas.openxmlformats.org/officeDocument/2006/relationships/hyperlink" Target="https://snabsan.ru/Smesitel_dlya_vanny_s_dushem_PSM-PROFSAN_PSM-150-K89_STANDART-B_tip_Sm-VUDRNShlr/?ysclid=lrabpxo517806531528" TargetMode="External"/><Relationship Id="rId52" Type="http://schemas.openxmlformats.org/officeDocument/2006/relationships/hyperlink" Target="https://shsl.ru/smesitel-dlya-vanny-s-dushem-psm-profsan-psm-150-k80-standart-b-tip-sm-vudrnshlr/?ysclid=lrabm7iupc681723541" TargetMode="External"/><Relationship Id="rId53" Type="http://schemas.openxmlformats.org/officeDocument/2006/relationships/hyperlink" Target="https://www.vseinstrumenti.ru/product/smesitel-dlya-vanny-s-dushem-profsan-psm-tip-sm-vudrnshlr-psm-150-89-1651200/?ysclid=lrabew9rrs543056329" TargetMode="External"/><Relationship Id="rId54" Type="http://schemas.openxmlformats.org/officeDocument/2006/relationships/hyperlink" Target="https://shsl.ru/smesitel-dlya-rakoviny-psm-profsan-psm-740-008-plyus-tip-sm-umotsba/?ysclid=lrad4pfspa191109063" TargetMode="External"/><Relationship Id="rId55" Type="http://schemas.openxmlformats.org/officeDocument/2006/relationships/hyperlink" Target="https://market.yandex.ru/product--profsan-psm-smesitel-dlia-rakoviny-seriia-komplektatsiia-tip-gost-sm-umotsba-psm-104-5/1446274854?sku=101457051894&amp;do-waremd5=MN4R_cxAyC16qpqPK8PM2A&amp;uniqueId=923915" TargetMode="External"/><Relationship Id="rId56" Type="http://schemas.openxmlformats.org/officeDocument/2006/relationships/hyperlink" Target="https://www.vseinstrumenti.ru/product/smesitel-dlya-rakoviny-profsan-psm-tip-gost-sm-umotsba-psm-759-044-2191972/?ysclid=lrad3eadg2536433745" TargetMode="External"/><Relationship Id="rId57" Type="http://schemas.openxmlformats.org/officeDocument/2006/relationships/hyperlink" Target="https://opensea.ru/compressor-a25067.htm?ysclid=lozru3t0d0163429978" TargetMode="External"/><Relationship Id="rId58" Type="http://schemas.openxmlformats.org/officeDocument/2006/relationships/hyperlink" Target="https://stardive.ru/shop/detailed_layout/id/1094" TargetMode="External"/><Relationship Id="rId59" Type="http://schemas.openxmlformats.org/officeDocument/2006/relationships/hyperlink" Target="https://shop-compressor.ru/shop/detailed_layout/id/2088" TargetMode="External"/><Relationship Id="rId60" Type="http://schemas.openxmlformats.org/officeDocument/2006/relationships/hyperlink" Target="https://shop-compressor.ru/shop/detailed_layout/id/2088" TargetMode="External"/><Relationship Id="rId61" Type="http://schemas.openxmlformats.org/officeDocument/2006/relationships/hyperlink" Target="https://opensea.ru/compressor-a25067.htm?ysclid=lozru3t0d0163429978" TargetMode="External"/><Relationship Id="rId62" Type="http://schemas.openxmlformats.org/officeDocument/2006/relationships/hyperlink" Target="https://stardive.ru/shop/detailed_layout/id/1094" TargetMode="External"/><Relationship Id="rId63" Type="http://schemas.openxmlformats.org/officeDocument/2006/relationships/hyperlink" Target="https://scuba-shop.ru/shop/tov/2000/kartridzh-fil-tra-bauer-p41-co-067224.html" TargetMode="External"/><Relationship Id="rId64" Type="http://schemas.openxmlformats.org/officeDocument/2006/relationships/hyperlink" Target="https://shop-compressor.ru/shop/detailed_layout/id/2087" TargetMode="External"/><Relationship Id="rId65" Type="http://schemas.openxmlformats.org/officeDocument/2006/relationships/hyperlink" Target="https://stardive.ru/shop/detailed_layout/id/1093" TargetMode="External"/><Relationship Id="rId66" Type="http://schemas.openxmlformats.org/officeDocument/2006/relationships/hyperlink" Target="https://scuba-shop.ru/shop/tov/2000/kartridzh-fil-tra-bauer-p41-co-067224.html" TargetMode="External"/><Relationship Id="rId67" Type="http://schemas.openxmlformats.org/officeDocument/2006/relationships/hyperlink" Target="https://shop-compressor.ru/shop/detailed_layout/id/2087" TargetMode="External"/><Relationship Id="rId68" Type="http://schemas.openxmlformats.org/officeDocument/2006/relationships/hyperlink" Target="https://stardive.ru/shop/detailed_layout/id/1093" TargetMode="External"/><Relationship Id="rId69" Type="http://schemas.openxmlformats.org/officeDocument/2006/relationships/hyperlink" Target="https://www.etm.ru/cat/nn/9413754" TargetMode="External"/><Relationship Id="rId70" Type="http://schemas.openxmlformats.org/officeDocument/2006/relationships/hyperlink" Target="https://www.bigms.ru/catalog/product/mufta_soedinitelnaya_ravnoprokhodnaya_16_dlya_trub_iz_sshitogo_polietilena_tece_teceflex_latun_76601" TargetMode="External"/><Relationship Id="rId71" Type="http://schemas.openxmlformats.org/officeDocument/2006/relationships/hyperlink" Target="https://www.santexbaza.ru/truby-iz-sshitogo-polietilena-i-fitingi-uponor/fitingi-dlya-trub-iz-sshitogo-polietilena-pe-xa-uponor/mufta-soedinitelnaya-uponor/mufta-soedinitelnaya-16-uponor/?ysclid=lozsft4qsl564589963" TargetMode="External"/><Relationship Id="rId72" Type="http://schemas.openxmlformats.org/officeDocument/2006/relationships/hyperlink" Target="https://www.etm.ru/cat/nn/7034263" TargetMode="External"/><Relationship Id="rId73" Type="http://schemas.openxmlformats.org/officeDocument/2006/relationships/hyperlink" Target="https://www.vseinstrumenti.ru/product/ugolok-soedinitelnyj-16-mm-1-2-tsanga-shtutser-dlya-truboprovoda-zubr-51409-16-1-2-231878/" TargetMode="External"/><Relationship Id="rId74" Type="http://schemas.openxmlformats.org/officeDocument/2006/relationships/hyperlink" Target="https://exist.ru/Catalog/Goods/36/1025/AB70F01A" TargetMode="External"/><Relationship Id="rId75" Type="http://schemas.openxmlformats.org/officeDocument/2006/relationships/hyperlink" Target="http://www.tovarpost.ru/web/tovarpost.asp?action=tovpod&amp;elem=5966763" TargetMode="External"/><Relationship Id="rId76" Type="http://schemas.openxmlformats.org/officeDocument/2006/relationships/hyperlink" Target="https://www.elektro.ru/product/mufta_soedinitelnaya_stm-20_3_4_fortisflex_2/" TargetMode="External"/><Relationship Id="rId77" Type="http://schemas.openxmlformats.org/officeDocument/2006/relationships/hyperlink" Target="https://www.chipdip.ru/product0/8010128096" TargetMode="External"/><Relationship Id="rId78" Type="http://schemas.openxmlformats.org/officeDocument/2006/relationships/hyperlink" Target="https://www.etm.ru/cat/nn/6032007?city=77" TargetMode="External"/><Relationship Id="rId79" Type="http://schemas.openxmlformats.org/officeDocument/2006/relationships/hyperlink" Target="https://valtec.ru/catalog/sistemy_metallopolimernyh_i_polimernyh_truboprovodov/obzhimnye_fitingi/fiting_objimnoj_trojnik_s_perehodom_na_narujnuyu_rezbu_vtm333n.html" TargetMode="External"/><Relationship Id="rId80" Type="http://schemas.openxmlformats.org/officeDocument/2006/relationships/hyperlink" Target="https://tdsayany.ru/catalogue/show/troynik-obzhimnoy-s-perehodom-na-nar-r/" TargetMode="External"/><Relationship Id="rId81" Type="http://schemas.openxmlformats.org/officeDocument/2006/relationships/hyperlink" Target="https://www.bigam.ru/product/valtec-1083844/" TargetMode="External"/><Relationship Id="rId82" Type="http://schemas.openxmlformats.org/officeDocument/2006/relationships/hyperlink" Target="https://fwater.ru/catalog/fitingi_dlya_trub/fitingi_obzhimnye_dlya_trub_metalloplastikovykh_/valtec_3/troynik_s_perekhodom_na_naruzhnuyu_rezbu_20_mm_kh_1_2_valtec/" TargetMode="External"/><Relationship Id="rId83" Type="http://schemas.openxmlformats.org/officeDocument/2006/relationships/hyperlink" Target="https://www.termokit.ru/product/fiting_obzhimnoy_troynik_s_perekhodom_na_naruzhnuyu_rezbu_valtec_20_x_1_2.htm" TargetMode="External"/><Relationship Id="rId84" Type="http://schemas.openxmlformats.org/officeDocument/2006/relationships/hyperlink" Target="https://aksis63.ru/catalog/metalloplastikovye_truby_i_fitingi/vtm_333_troynik_obzhimnoy_s_perekhodom_na_naruzhnuyu_rezbu_20_1_2_20_ts_nar_ts/" TargetMode="External"/><Relationship Id="rId85" Type="http://schemas.openxmlformats.org/officeDocument/2006/relationships/hyperlink" Target="https://www.tim-ru.ru/products/349526399-press_fiting_ugolok_nikelirovanny_20_20_f_l2020n" TargetMode="External"/><Relationship Id="rId86" Type="http://schemas.openxmlformats.org/officeDocument/2006/relationships/hyperlink" Target="https://www.vseinstrumenti.ru/product/ugolok-aqualink-perehodnoj-1-2x3-4-vn-vn-tsena-za-upakovku-10-sht-art-2560-1746361/" TargetMode="External"/><Relationship Id="rId87" Type="http://schemas.openxmlformats.org/officeDocument/2006/relationships/hyperlink" Target="https://dn.ru/polietilenovye-truby-i-fitingi/ugolki/rtp/ugolok-axi-vr/dn20-1-2" TargetMode="External"/><Relationship Id="rId88" Type="http://schemas.openxmlformats.org/officeDocument/2006/relationships/hyperlink" Target="https://tim-com.ru/katalog-tim/press-fiting-ugolok-c320---1-2-vnutrennyaya-c320-mm" TargetMode="External"/><Relationship Id="rId89" Type="http://schemas.openxmlformats.org/officeDocument/2006/relationships/hyperlink" Target="https://promportal.su/goods/44188258/press-fiting-ugolok-nikelirovanniy-20-20-f-l2020n.htm" TargetMode="External"/><Relationship Id="rId90" Type="http://schemas.openxmlformats.org/officeDocument/2006/relationships/hyperlink" Target="https://tim-rif.ru/products/press-fiting-ugolok-nikelirovannyj-f-20x20-tim-f-l2020n" TargetMode="External"/><Relationship Id="rId91" Type="http://schemas.openxmlformats.org/officeDocument/2006/relationships/hyperlink" Target="https://novorossiysk.vseinstrumenti.ru/product/podshipnik-cnic-uzel-ucp308-podshipnik-uc308-v-arochnom-korpuse-65231-2042508/" TargetMode="External"/><Relationship Id="rId92" Type="http://schemas.openxmlformats.org/officeDocument/2006/relationships/hyperlink" Target="https://new.optorg.ru/catalog/avtozapchasti/industrialnye_podshipniki/podshipniki/238505/" TargetMode="External"/><Relationship Id="rId93" Type="http://schemas.openxmlformats.org/officeDocument/2006/relationships/hyperlink" Target="https://bearingstore.ru/catalog/podshipniki_podshipnikovye_uzly_i_detali/podshipnikovye_uzly_korpusa_i_komplektuyushchie/podshipnikovye_uzly_i_komplektuyushchie_osnovnogo_primeneniya/72074/?ysclid=lnn5dbbf7v216585646" TargetMode="External"/><Relationship Id="rId94" Type="http://schemas.openxmlformats.org/officeDocument/2006/relationships/hyperlink" Target="https://fetparts.ru/products/AQUALINK/02358.html" TargetMode="External"/><Relationship Id="rId95" Type="http://schemas.openxmlformats.org/officeDocument/2006/relationships/hyperlink" Target="https://goodmag.ru/product/aqualine-podvodka-gibkaya-dlya-vody-s-nak-gaykoy-latun-v-stalnoy-opletke-1-2-400-sm-vn-nar-2358/" TargetMode="External"/><Relationship Id="rId96" Type="http://schemas.openxmlformats.org/officeDocument/2006/relationships/hyperlink" Target="https://arsenal007.ru/catalog/khoztovary/santekhnika/podvodka/aqualine-podvodka-gibkaya-dlya-vodyi-s-nak-gaykoy-latun-v-stalnoy-opletke-1-2-400-sm--vn-nar-2358-art-719297/" TargetMode="External"/><Relationship Id="rId97" Type="http://schemas.openxmlformats.org/officeDocument/2006/relationships/hyperlink" Target="https://www.kraska-ekb.ru/goods/81268106-grunt_emal_antikorroziynaya_dv_106" TargetMode="External"/><Relationship Id="rId98" Type="http://schemas.openxmlformats.org/officeDocument/2006/relationships/hyperlink" Target="https://bizorg.su/grunt-emal-r/p27961380-gruntemal-po-rzhavchine-dv106-tsveto" TargetMode="External"/><Relationship Id="rId99" Type="http://schemas.openxmlformats.org/officeDocument/2006/relationships/hyperlink" Target="https://krasnodar.pulscen.ru/products/grunt_emal_antikorroziynaya_dv_106_81268106" TargetMode="External"/><Relationship Id="rId100" Type="http://schemas.openxmlformats.org/officeDocument/2006/relationships/hyperlink" Target="https://bizorg.su/grunt-emal-r/p27961380-gruntemal-po-rzhavchine-dv106-tsveto" TargetMode="External"/><Relationship Id="rId101" Type="http://schemas.openxmlformats.org/officeDocument/2006/relationships/hyperlink" Target="https://www.kraska-ekb.ru/goods/81268106-grunt_emal_antikorroziynaya_dv_106" TargetMode="External"/><Relationship Id="rId102" Type="http://schemas.openxmlformats.org/officeDocument/2006/relationships/hyperlink" Target="https://krasnodar.pulscen.ru/products/grunt_emal_antikorroziynaya_dv_106_81268106" TargetMode="External"/><Relationship Id="rId103" Type="http://schemas.openxmlformats.org/officeDocument/2006/relationships/hyperlink" Target="https://www.kraska-ekb.ru/goods/81268106-grunt_emal_antikorroziynaya_dv_106" TargetMode="External"/><Relationship Id="rId104" Type="http://schemas.openxmlformats.org/officeDocument/2006/relationships/hyperlink" Target="https://bizorg.su/grunt-emal-r/p27961380-gruntemal-po-rzhavchine-dv106-tsveto" TargetMode="External"/><Relationship Id="rId105" Type="http://schemas.openxmlformats.org/officeDocument/2006/relationships/hyperlink" Target="https://krasnodar.pulscen.ru/products/grunt_emal_antikorroziynaya_dv_106_81268106" TargetMode="External"/><Relationship Id="rId106" Type="http://schemas.openxmlformats.org/officeDocument/2006/relationships/hyperlink" Target="https://bizorg.su/grunt-emal-r/p27961380-gruntemal-po-rzhavchine-dv106-tsveto" TargetMode="External"/><Relationship Id="rId107" Type="http://schemas.openxmlformats.org/officeDocument/2006/relationships/hyperlink" Target="https://www.kraska-ekb.ru/goods/81268106-grunt_emal_antikorroziynaya_dv_106" TargetMode="External"/><Relationship Id="rId108" Type="http://schemas.openxmlformats.org/officeDocument/2006/relationships/hyperlink" Target="https://krasnodar.pulscen.ru/products/grunt_emal_antikorroziynaya_dv_106_81268106" TargetMode="External"/><Relationship Id="rId109" Type="http://schemas.openxmlformats.org/officeDocument/2006/relationships/hyperlink" Target="https://4mycar.ru/parts/Sakura/EF51040" TargetMode="External"/><Relationship Id="rId110" Type="http://schemas.openxmlformats.org/officeDocument/2006/relationships/hyperlink" Target="https://stalfilters.ru/filtr-toplivnyy-st20908-150-1r0793-26560163-ef51040-1r1803/?ysclid=lrak10zrwq777187621" TargetMode="External"/><Relationship Id="rId111" Type="http://schemas.openxmlformats.org/officeDocument/2006/relationships/hyperlink" Target="https://stal.market/filtr-toplivnyy-st20908-150-1r0793-26560163-ef51040-1r1803/?ysclid=lrajwv9zs3971250078" TargetMode="External"/><Relationship Id="rId112" Type="http://schemas.openxmlformats.org/officeDocument/2006/relationships/hyperlink" Target="https://mts124.ru/product/filtr-toplivnyy-st20908-1-50-1r0793-26560163-ef51040-1r1803-58172/" TargetMode="External"/><Relationship Id="rId113" Type="http://schemas.openxmlformats.org/officeDocument/2006/relationships/hyperlink" Target="https://promintel.com/products/ff167a-filtr-kartridzh-toplivnyy-fleetguard?ysclid=lrakl1m7ml123791948" TargetMode="External"/><Relationship Id="rId114" Type="http://schemas.openxmlformats.org/officeDocument/2006/relationships/hyperlink" Target="https://euroauto.ru/firms/fleetguard/ff167a/?ysclid=lrakia4gtm380241399" TargetMode="External"/><Relationship Id="rId115" Type="http://schemas.openxmlformats.org/officeDocument/2006/relationships/hyperlink" Target="https://maslomarket.com/catalog/filters/the-fuel-filters/filtr-toplivnyy-fleetguard-ff167a/?ysclid=lrakdq5vt6532307090" TargetMode="External"/><Relationship Id="rId116" Type="http://schemas.openxmlformats.org/officeDocument/2006/relationships/hyperlink" Target="https://gik43.ru/filtr-toplivnyy-goodwill-fg1050eco-605013-ef-5102-26560201-sk3380" TargetMode="External"/><Relationship Id="rId117" Type="http://schemas.openxmlformats.org/officeDocument/2006/relationships/hyperlink" Target="https://baza.drom.ru/krasnoyarsk/sell_spare_parts/filtr-toplivnyj-fg1050eco-fg1050eco-g13022100678.html" TargetMode="External"/><Relationship Id="rId118" Type="http://schemas.openxmlformats.org/officeDocument/2006/relationships/hyperlink" Target="https://impart.online/catalog/fg1050eco-filtr-toplivnyy-goodwill-1qqxv1d/?ysclid=lral5t13gt289495644" TargetMode="External"/><Relationship Id="rId119" Type="http://schemas.openxmlformats.org/officeDocument/2006/relationships/hyperlink" Target="https://gik43.ru/filtr-toplivnyy-goodwill-fg1050eco-605013-ef-5102-26560201-sk3380" TargetMode="External"/><Relationship Id="rId120" Type="http://schemas.openxmlformats.org/officeDocument/2006/relationships/hyperlink" Target="https://ugk174.ru/catalog/filtry/filtr_toplivnyj_goodwill_fg1050eco_605013_ef_5102_26560201_sk3380/?ysclid=lrakro7vk4945263656" TargetMode="External"/><Relationship Id="rId121" Type="http://schemas.openxmlformats.org/officeDocument/2006/relationships/hyperlink" Target="https://rs24.ru/product/2313919" TargetMode="External"/><Relationship Id="rId122" Type="http://schemas.openxmlformats.org/officeDocument/2006/relationships/hyperlink" Target="https://www.chipdip.ru/product0/8007133241" TargetMode="External"/><Relationship Id="rId123" Type="http://schemas.openxmlformats.org/officeDocument/2006/relationships/hyperlink" Target="https://dc-electro.ru/catalog/products/vyklyuchatel-avtomaticheskiy-modulnyy-3p-d-40a-c60n-sche-m9f12340/" TargetMode="External"/><Relationship Id="rId124" Type="http://schemas.openxmlformats.org/officeDocument/2006/relationships/hyperlink" Target="https://autopiter.ru/goods/614500/sintec/id53355745" TargetMode="External"/><Relationship Id="rId125" Type="http://schemas.openxmlformats.org/officeDocument/2006/relationships/hyperlink" Target="https://megamarket.ru/catalog/details/antifriz-sintec-krasno-oranzhevyy-gotovyy-antifriz-5kg-614500-100022894432/otzyvy/" TargetMode="External"/><Relationship Id="rId126" Type="http://schemas.openxmlformats.org/officeDocument/2006/relationships/hyperlink" Target="https://avtospectr.com/market/sintec-antifriz-lux-g12-krasnyj-01l/" TargetMode="External"/><Relationship Id="rId127" Type="http://schemas.openxmlformats.org/officeDocument/2006/relationships/hyperlink" Target="https://megamarket.ru/catalog/details/antifriz-sintec-krasno-oranzhevyy-gotovyy-antifriz-10kg-756665-100022894461/?ysclid=lramk3bn9y757071591" TargetMode="External"/><Relationship Id="rId128" Type="http://schemas.openxmlformats.org/officeDocument/2006/relationships/hyperlink" Target="https://www.wildberries.ru/catalog/102878995/detail.aspx" TargetMode="External"/><Relationship Id="rId129" Type="http://schemas.openxmlformats.org/officeDocument/2006/relationships/hyperlink" Target="https://optorg.ru/catalog/avtomobilnye_tovary_shiny/avtohimiya/antifrizy_tosoly/161247/" TargetMode="External"/><Relationship Id="rId130" Type="http://schemas.openxmlformats.org/officeDocument/2006/relationships/hyperlink" Target="https://www.magazin-krasok.com/polirovka/autokosmetika/motorhim/11abr-abro.html" TargetMode="External"/><Relationship Id="rId131" Type="http://schemas.openxmlformats.org/officeDocument/2006/relationships/hyperlink" Target="https://avsila.ru/catalog/masla-avtokosmetika-avtokhimiya/germetiki/germetik-abro-silikonovyy-krasnyy-85-gr-original-11ab-r/?ysclid=lnna30tmkz989350706" TargetMode="External"/><Relationship Id="rId132" Type="http://schemas.openxmlformats.org/officeDocument/2006/relationships/hyperlink" Target="https://www.avtoall.ru/germetik_krasnyiy_silikonovyiy_vysokotemperaturnyiy_85g_abro-481831/?ysclid=lnna2yqqvs230393224" TargetMode="External"/><Relationship Id="rId133" Type="http://schemas.openxmlformats.org/officeDocument/2006/relationships/hyperlink" Target="https://www.manometer-spb.ru/catalog/manometry/tekhnicheskie/3078/" TargetMode="External"/><Relationship Id="rId134" Type="http://schemas.openxmlformats.org/officeDocument/2006/relationships/hyperlink" Target="https://manometry.ru/mp3-uf" TargetMode="External"/><Relationship Id="rId135" Type="http://schemas.openxmlformats.org/officeDocument/2006/relationships/hyperlink" Target="https://mera-tek.ru/catalog/manometry/mp3-uf-1-mpa-kl-1-5-m20kh1-5/" TargetMode="External"/><Relationship Id="rId136" Type="http://schemas.openxmlformats.org/officeDocument/2006/relationships/hyperlink" Target="https://tdatm.ru/catalog/kontrolno_izmeritelnye_pribory_kipia/sredstva_izmereniya_davleniya/manometry/manometr_mp3_uf_0_16_mpa_kt_1_5_d_100_ip40_m20_1_5_rsh.html?ysclid=lrehxw9wvk944054918" TargetMode="External"/><Relationship Id="rId137" Type="http://schemas.openxmlformats.org/officeDocument/2006/relationships/hyperlink" Target="https://www.rustenergo.ru/catalog/pribory-dlya-izmereniya-neelektricheskikh-velichin/manometry-tekhnicheskie/mp3-uf/mp3-uf-0-16-0-mpa-kl-t-1-5-manometr-/?ysclid=lramwgbykb590014002" TargetMode="External"/><Relationship Id="rId138" Type="http://schemas.openxmlformats.org/officeDocument/2006/relationships/hyperlink" Target="https://krasnodar.mera-tek.ru/catalog/manometry/mp3-uf-16-kgs-sm2-kl-1-5-m20kh1-5/?ysclid=lrei328o57511096383" TargetMode="External"/><Relationship Id="rId139" Type="http://schemas.openxmlformats.org/officeDocument/2006/relationships/hyperlink" Target="https://nevinnomisk.specarmatura.ru/catalog/manometry_tekhnicheskie_fiztekh/manometr_mp3_uf_0_1_6_atm_ip40_m20_1_5_rsh/" TargetMode="External"/><Relationship Id="rId140" Type="http://schemas.openxmlformats.org/officeDocument/2006/relationships/hyperlink" Target="https://sale-instrument.ru/product/manometr-fizteh-mp3-uf-isp-eko-0-1-6-mpa-kt-1-5-d-100-ip40-g1-2-rsh-1754923532.html" TargetMode="External"/><Relationship Id="rId141" Type="http://schemas.openxmlformats.org/officeDocument/2006/relationships/hyperlink" Target="https://kupi-kip.ru/product/manometr-tehnicheskij-fizteh-mp3-uf-v-ispolnenii-eko/" TargetMode="External"/><Relationship Id="rId142" Type="http://schemas.openxmlformats.org/officeDocument/2006/relationships/hyperlink" Target="https://www.kipa18.ru/goods/106412975-manometr_mp3_uf_0_1_6_mpa_kt_1_5_d_100_ip40_m20_1_5_rsh" TargetMode="External"/><Relationship Id="rId143" Type="http://schemas.openxmlformats.org/officeDocument/2006/relationships/hyperlink" Target="https://intersens.ru/product/manometer-mp3-uf-isp-eko-0-1-6-mpa-kt-1-5-d-100-ip40-m20-1-5-rsh/?ysclid=lrej33wn3b834774274" TargetMode="External"/><Relationship Id="rId144" Type="http://schemas.openxmlformats.org/officeDocument/2006/relationships/hyperlink" Target="https://tdatm.ru/catalog/kontrolno_izmeritelnye_pribory_kipia/sredstva_izmereniya_davleniya/manometry/manometr_mp3_uf_isp_eko_0_1_6_mpa_kt_1_5_d_100_ip40_m20_1_5_rsh_gp.html" TargetMode="External"/><Relationship Id="rId145" Type="http://schemas.openxmlformats.org/officeDocument/2006/relationships/hyperlink" Target="https://nevinnomisk.specarmatura.ru/catalog/manometry_tekhnicheskie_fiztekh/manometr_mp3_uf_0_1_6_atm_ip40_m20_1_5_rsh/" TargetMode="External"/><Relationship Id="rId146" Type="http://schemas.openxmlformats.org/officeDocument/2006/relationships/hyperlink" Target="https://sale-instrument.ru/product/manometr-fizteh-mp3-uf-isp-eko-0-1-6-mpa-kt-1-5-d-100-ip40-g1-2-rsh-1754923532.html" TargetMode="External"/><Relationship Id="rId147" Type="http://schemas.openxmlformats.org/officeDocument/2006/relationships/hyperlink" Target="https://kupi-kip.ru/product/manometr-tehnicheskij-fizteh-mp3-uf-v-ispolnenii-eko/" TargetMode="External"/><Relationship Id="rId148" Type="http://schemas.openxmlformats.org/officeDocument/2006/relationships/hyperlink" Target="https://www.kipa18.ru/goods/106412975-manometr_mp3_uf_0_1_6_mpa_kt_1_5_d_100_ip40_m20_1_5_rsh" TargetMode="External"/><Relationship Id="rId149" Type="http://schemas.openxmlformats.org/officeDocument/2006/relationships/hyperlink" Target="https://intersens.ru/product/manometer-mp3-uf-isp-eko-0-1-6-mpa-kt-1-5-d-100-ip40-m20-1-5-rsh/?ysclid=lrej33wn3b834774274" TargetMode="External"/><Relationship Id="rId150" Type="http://schemas.openxmlformats.org/officeDocument/2006/relationships/hyperlink" Target="https://tdatm.ru/catalog/kontrolno_izmeritelnye_pribory_kipia/sredstva_izmereniya_davleniya/manometry/manometr_mp3_uf_isp_eko_0_1_6_mpa_kt_1_5_d_100_ip40_m20_1_5_rsh_gp.html" TargetMode="External"/><Relationship Id="rId151" Type="http://schemas.openxmlformats.org/officeDocument/2006/relationships/hyperlink" Target="https://vsemanometri.ru/catalog/ekonom_variant/manometry_tekhnicheskie_mp3_uf_eko/" TargetMode="External"/><Relationship Id="rId152" Type="http://schemas.openxmlformats.org/officeDocument/2006/relationships/hyperlink" Target="https://www.manometer-spb.ru/catalog/manometry/tekhnicheskie/2770/" TargetMode="External"/><Relationship Id="rId153" Type="http://schemas.openxmlformats.org/officeDocument/2006/relationships/hyperlink" Target="https://lab-oborudovanie.ru/catalog/manometrt-mp3-u-eko-0-2-5-mpa/" TargetMode="External"/><Relationship Id="rId154" Type="http://schemas.openxmlformats.org/officeDocument/2006/relationships/hyperlink" Target="https://pritok.info/shop/goods/manometr-mp3-uf-isp-eko-0-25-mpa-rsh--kt15---d100---IP40---m20-15--1098198185?ysclid=lrejleyr5d630555802" TargetMode="External"/><Relationship Id="rId155" Type="http://schemas.openxmlformats.org/officeDocument/2006/relationships/hyperlink" Target="https://tdatm.ru/catalog/kontrolno_izmeritelnye_pribory_kipia/sredstva_izmereniya_davleniya/manometry/manometr_mp3_uf_isp_eko_0_2_5_mpa_kt_1_5_d_100_ip40_m20_1_5_rsh.html" TargetMode="External"/><Relationship Id="rId156" Type="http://schemas.openxmlformats.org/officeDocument/2006/relationships/hyperlink" Target="https://tdatm.ru/catalog/kontrolno_izmeritelnye_pribory_kipia/sredstva_izmereniya_davleniya/manometry/manometr_mp3_uf_isp_eko_0_1_mpa_kt_1_5_d_100_ip40_g1_2_rsh.html" TargetMode="External"/><Relationship Id="rId157" Type="http://schemas.openxmlformats.org/officeDocument/2006/relationships/hyperlink" Target="https://vsemanometri.ru/catalog/ekonom_variant/manometry_tekhnicheskie_mp3_uf_eko/" TargetMode="External"/><Relationship Id="rId158" Type="http://schemas.openxmlformats.org/officeDocument/2006/relationships/hyperlink" Target="https://www.manometer-spb.ru/catalog/manometry/tekhnicheskie/2766/" TargetMode="External"/><Relationship Id="rId159" Type="http://schemas.openxmlformats.org/officeDocument/2006/relationships/hyperlink" Target="https://afkmarket.ru/catalog/pribory-ucheta-i-kipia/manometry/30964/" TargetMode="External"/><Relationship Id="rId160" Type="http://schemas.openxmlformats.org/officeDocument/2006/relationships/hyperlink" Target="https://lab-oborudovanie.ru/catalog/manometrt-mp3-uf-eko-0-4-mpa/" TargetMode="External"/><Relationship Id="rId161" Type="http://schemas.openxmlformats.org/officeDocument/2006/relationships/hyperlink" Target="https://www.manometer-spb.ru/catalog/manometry/tekhnicheskie/2771/" TargetMode="External"/><Relationship Id="rId162" Type="http://schemas.openxmlformats.org/officeDocument/2006/relationships/hyperlink" Target="https://lab-oborudovanie.ru/catalog/manometrt-mp3-uf-eko-0-1-6-mpa/" TargetMode="External"/><Relationship Id="rId163" Type="http://schemas.openxmlformats.org/officeDocument/2006/relationships/hyperlink" Target="https://www.manometer-spb.ru/catalog/manometry/tekhnicheskie/2775/" TargetMode="External"/><Relationship Id="rId164" Type="http://schemas.openxmlformats.org/officeDocument/2006/relationships/hyperlink" Target="https://vsemanometri.ru/catalog/ekonom_variant/manometry_tekhnicheskie_mp3_uf_eko/" TargetMode="External"/><Relationship Id="rId165" Type="http://schemas.openxmlformats.org/officeDocument/2006/relationships/hyperlink" Target="https://lab-oborudovanie.ru/catalog/manometrt-mp3-uf-eko-0-6-mpa/" TargetMode="External"/><Relationship Id="rId166" Type="http://schemas.openxmlformats.org/officeDocument/2006/relationships/hyperlink" Target="https://www.manometer-spb.ru/catalog/manometry/tekhnicheskie/2772/" TargetMode="External"/><Relationship Id="rId167" Type="http://schemas.openxmlformats.org/officeDocument/2006/relationships/hyperlink" Target="https://lab-oborudovanie.ru/catalog/manometrt-mp3-uf-eko-0-6-mpa/" TargetMode="External"/><Relationship Id="rId168" Type="http://schemas.openxmlformats.org/officeDocument/2006/relationships/hyperlink" Target="https://manometry.ru/tm-320r" TargetMode="External"/><Relationship Id="rId169" Type="http://schemas.openxmlformats.org/officeDocument/2006/relationships/hyperlink" Target="https://manocentr.ru/category/manometry/vibroustojchivye-manometry/vibroustojchivyj-manometr-tm-320r/" TargetMode="External"/><Relationship Id="rId170" Type="http://schemas.openxmlformats.org/officeDocument/2006/relationships/hyperlink" Target="https://ingenerseti.ru/product/manometr_tm_320r_00_0_2_5_mra_m12_1_5_zapolnenie_silikon_radialnyy_rosma/" TargetMode="External"/><Relationship Id="rId171" Type="http://schemas.openxmlformats.org/officeDocument/2006/relationships/hyperlink" Target="https://manometr-rsc.ru/catalog/tm-320-0-2-5mpa-g-1-4-1-5/?ysclid=lrely9ti1g727016875" TargetMode="External"/><Relationship Id="rId172" Type="http://schemas.openxmlformats.org/officeDocument/2006/relationships/hyperlink" Target="https://dn.ru/kipia/manometry/radialnyi/rosma/tm-320r-do-10mpa/0-2-5mpa-m12-1-5?ysclid=lreludfknv105936068" TargetMode="External"/><Relationship Id="rId173" Type="http://schemas.openxmlformats.org/officeDocument/2006/relationships/hyperlink" Target="https://krasnodar.mera-tek.ru/catalog/manometry/tm-320r-00-0-0-25-mpa-m12kh1-5-1-5/?ysclid=lreltze8nn744889761" TargetMode="External"/><Relationship Id="rId174" Type="http://schemas.openxmlformats.org/officeDocument/2006/relationships/hyperlink" Target="https://www.fiztech.ru/catalog/manometry/693/" TargetMode="External"/><Relationship Id="rId175" Type="http://schemas.openxmlformats.org/officeDocument/2006/relationships/hyperlink" Target="https://afkmarket.ru/catalog/pribory-ucheta-i-kipia/manometry/29576/" TargetMode="External"/><Relationship Id="rId176" Type="http://schemas.openxmlformats.org/officeDocument/2006/relationships/hyperlink" Target="https://lab-oborudovanie.ru/catalog/manometr-dm2010-isp-5-0-10-mpa/" TargetMode="External"/><Relationship Id="rId177" Type="http://schemas.openxmlformats.org/officeDocument/2006/relationships/hyperlink" Target="https://afkmarket.ru/catalog/pribory-ucheta-i-kipia/manometry/29589/" TargetMode="External"/><Relationship Id="rId178" Type="http://schemas.openxmlformats.org/officeDocument/2006/relationships/hyperlink" Target="https://msk.specarmatura.ru/catalog/manometry_elektrokontaktnye_fiztekh/manometr_dm2010f_isp_v_0_10_0_atm_ip40_m20kh1_5_rsh/" TargetMode="External"/><Relationship Id="rId179" Type="http://schemas.openxmlformats.org/officeDocument/2006/relationships/hyperlink" Target="https://lab-oborudovanie.ru/catalog/manometr-dm2010-isp-5-0-1-mpa/" TargetMode="External"/><Relationship Id="rId180" Type="http://schemas.openxmlformats.org/officeDocument/2006/relationships/hyperlink" Target="https://nevinnomisk.specarmatura.ru/catalog/manometry_elektrokontaktnye_fiztekh/manometr_dm2010f_isp_v_0_10_0_atm_ip40_m20kh1_5_rsh/" TargetMode="External"/><Relationship Id="rId181" Type="http://schemas.openxmlformats.org/officeDocument/2006/relationships/hyperlink" Target="https://afkmarket.ru/catalog/pribory-ucheta-i-kipia/manometry/29576/" TargetMode="External"/><Relationship Id="rId182" Type="http://schemas.openxmlformats.org/officeDocument/2006/relationships/hyperlink" Target="https://www.manometer-spb.ru/catalog/manometry/elektrokontaktnye_ekm/6686/" TargetMode="External"/><Relationship Id="rId183" Type="http://schemas.openxmlformats.org/officeDocument/2006/relationships/hyperlink" Target="https://afkmarket.ru/catalog/pribory-ucheta-i-kipia/manometry/29594/" TargetMode="External"/><Relationship Id="rId184" Type="http://schemas.openxmlformats.org/officeDocument/2006/relationships/hyperlink" Target="https://msk.specarmatura.ru/catalog/manometry_elektrokontaktnye_fiztekh/manometr_dm2010f_isp_v_0_100_0_atm_ip40_m20kh1_5_rsh/" TargetMode="External"/><Relationship Id="rId185" Type="http://schemas.openxmlformats.org/officeDocument/2006/relationships/hyperlink" Target="https://lab-oborudovanie.ru/catalog/manometr-dm2010-isp-5-0-10-mpa/" TargetMode="External"/><Relationship Id="rId186" Type="http://schemas.openxmlformats.org/officeDocument/2006/relationships/hyperlink" Target="https://nevinnomisk.specarmatura.ru/catalog/manometry_elektrokontaktnye_fiztekh/manometr_dm2010f_isp_v_0_1_6_atm_ip40_m20kh1_5_rsh/" TargetMode="External"/><Relationship Id="rId187" Type="http://schemas.openxmlformats.org/officeDocument/2006/relationships/hyperlink" Target="https://pro-com.ru/catalog/instrument_i_sredstva_zashchity/instrument_pnevmaticheskiy_/prinadlezhnosti_dlya_pnevmoinstrumenta_/manometry/manometr_dm2010f_isp_v_0_16_mpa_kt_1_5_d_100_ip40_m20_1_5_rsh/" TargetMode="External"/><Relationship Id="rId188" Type="http://schemas.openxmlformats.org/officeDocument/2006/relationships/hyperlink" Target="https://manometry.ru/dm2010f" TargetMode="External"/><Relationship Id="rId189" Type="http://schemas.openxmlformats.org/officeDocument/2006/relationships/hyperlink" Target="https://afkmarket.ru/catalog/pribory-ucheta-i-kipia/manometry/29598/" TargetMode="External"/><Relationship Id="rId190" Type="http://schemas.openxmlformats.org/officeDocument/2006/relationships/hyperlink" Target="https://msk.specarmatura.ru/catalog/manometry_elektrokontaktnye_fiztekh/manometr_dm2010f_isp_v_0_1_6_atm_ip40_m20kh1_5_rsh/" TargetMode="External"/><Relationship Id="rId191" Type="http://schemas.openxmlformats.org/officeDocument/2006/relationships/hyperlink" Target="https://lab-oborudovanie.ru/catalog/manometr-dm2010-isp-5-0-16-mpa/" TargetMode="External"/><Relationship Id="rId192" Type="http://schemas.openxmlformats.org/officeDocument/2006/relationships/hyperlink" Target="https://nevinnomisk.specarmatura.ru/catalog/manometry_elektrokontaktnye_fiztekh/manometr_dm2010f_isp_v_0_1_6_atm_ip40_m20kh1_5_rsh/" TargetMode="External"/><Relationship Id="rId193" Type="http://schemas.openxmlformats.org/officeDocument/2006/relationships/hyperlink" Target="https://mera-tek.ru/catalog/manometry/dm2010f-1-6-mpa-kl-1-5-isp-v-bez-flantsa/" TargetMode="External"/><Relationship Id="rId194" Type="http://schemas.openxmlformats.org/officeDocument/2006/relationships/hyperlink" Target="https://afkmarket.ru/catalog/pribory-ucheta-i-kipia/manometry/112560/" TargetMode="External"/><Relationship Id="rId195" Type="http://schemas.openxmlformats.org/officeDocument/2006/relationships/hyperlink" Target="https://tdatm.ru/catalog/kontrolno_izmeritelnye_pribory_kipia/sredstva_izmereniya_davleniya/manometry/manometr_dm2010f_isp_v_0_160_kpa_kt_1_5_d_100_ip40_m20_1_5_rsh.html" TargetMode="External"/><Relationship Id="rId196" Type="http://schemas.openxmlformats.org/officeDocument/2006/relationships/hyperlink" Target="https://lab-oborudovanie.ru/catalog/manometr-dm2010-isp-5-0-0-16-mpa/" TargetMode="External"/><Relationship Id="rId197" Type="http://schemas.openxmlformats.org/officeDocument/2006/relationships/hyperlink" Target="https://manometry.ru/dm2010f" TargetMode="External"/><Relationship Id="rId198" Type="http://schemas.openxmlformats.org/officeDocument/2006/relationships/hyperlink" Target="http://www.spec-arm.ru/goods/230265912-manometr_elektrokontaktny_dm2010f_isp_v_0_4_0_mpa_kt_1_5_d100_ip40_m20kh1_5_rsh" TargetMode="External"/><Relationship Id="rId199" Type="http://schemas.openxmlformats.org/officeDocument/2006/relationships/hyperlink" Target="https://nevinnomisk.specarmatura.ru/catalog/manometry_elektrokontaktnye_fiztekh/manometr_dm2010f_isp_v_0_40_0_atm_ip40_m20kh1_5_rsh/" TargetMode="External"/><Relationship Id="rId200" Type="http://schemas.openxmlformats.org/officeDocument/2006/relationships/hyperlink" Target="https://afkmarket.ru/catalog/pribory-ucheta-i-kipia/manometry/29621/" TargetMode="External"/><Relationship Id="rId201" Type="http://schemas.openxmlformats.org/officeDocument/2006/relationships/hyperlink" Target="https://tdatm.ru/catalog/kontrolno_izmeritelnye_pribory_kipia/sredstva_izmereniya_davleniya/manometry/manometr_dm2010f_isp_v_0_4_kgs_sm2_kt_1_5_d_100_ip40_m20_1_5_rsh_fl.html" TargetMode="External"/><Relationship Id="rId202" Type="http://schemas.openxmlformats.org/officeDocument/2006/relationships/hyperlink" Target="https://msk.specarmatura.ru/catalog/manometry_elektrokontaktnye_fiztekh/manometr_dm2010f_isp_v_0_4_0_atm_ip40_m20kh1_5_rsh/" TargetMode="External"/><Relationship Id="rId203" Type="http://schemas.openxmlformats.org/officeDocument/2006/relationships/hyperlink" Target="https://manometry.ru/dm2010f" TargetMode="External"/><Relationship Id="rId204" Type="http://schemas.openxmlformats.org/officeDocument/2006/relationships/hyperlink" Target="https://tdatm.ru/catalog/kontrolno_izmeritelnye_pribory_kipia/sredstva_izmereniya_davleniya/manometry/manometr_dm2010f_isp_v_0_1_mpa_kt_1_5_d_100_ip40_m20_1_5_rsh.html" TargetMode="External"/><Relationship Id="rId205" Type="http://schemas.openxmlformats.org/officeDocument/2006/relationships/hyperlink" Target="https://kupi-kip.ru/product/manometry-elektrokontaktnye-fizteh-dm2010f/" TargetMode="External"/><Relationship Id="rId206" Type="http://schemas.openxmlformats.org/officeDocument/2006/relationships/hyperlink" Target="https://afkmarket.ru/catalog/pribory-ucheta-i-kipia/manometry/29625/" TargetMode="External"/><Relationship Id="rId207" Type="http://schemas.openxmlformats.org/officeDocument/2006/relationships/hyperlink" Target="https://pritok.info/shop/goods/manometr-dm2010f-isp-V-0-40-mpa-rsh--kt15---d100---IP40---M20-15--1098119641?ysclid=lreo52mh8s737141788" TargetMode="External"/><Relationship Id="rId208" Type="http://schemas.openxmlformats.org/officeDocument/2006/relationships/hyperlink" Target="https://msk.specarmatura.ru/catalog/manometry_elektrokontaktnye_fiztekh/manometr_dm2010f_isp_v_0_40_0_atm_ip40_m20kh1_5_rsh/" TargetMode="External"/><Relationship Id="rId209" Type="http://schemas.openxmlformats.org/officeDocument/2006/relationships/hyperlink" Target="https://nevinnomisk.specarmatura.ru/catalog/manometry_elektrokontaktnye_fiztekh/manometr_dm2010f_isp_v_0_6_0_atm_ip40_m20kh1_5_rsh/" TargetMode="External"/><Relationship Id="rId210" Type="http://schemas.openxmlformats.org/officeDocument/2006/relationships/hyperlink" Target="https://www.manometer-spb.ru/catalog/manometry/elektrokontaktnye_ekm/6690/" TargetMode="External"/><Relationship Id="rId211" Type="http://schemas.openxmlformats.org/officeDocument/2006/relationships/hyperlink" Target="https://manometry.ru/dm2010f" TargetMode="External"/><Relationship Id="rId212" Type="http://schemas.openxmlformats.org/officeDocument/2006/relationships/hyperlink" Target="https://pritok.info/shop/goods/manometr-dm2010f-isp-V-0-06-mpa-kt15-d100-IP40-M20-15-rsh-1098190449" TargetMode="External"/><Relationship Id="rId213" Type="http://schemas.openxmlformats.org/officeDocument/2006/relationships/hyperlink" Target="https://afkmarket.ru/catalog/pribory-ucheta-i-kipia/manometry/29634/" TargetMode="External"/><Relationship Id="rId214" Type="http://schemas.openxmlformats.org/officeDocument/2006/relationships/hyperlink" Target="https://msk.specarmatura.ru/catalog/manometry_elektrokontaktnye_fiztekh/manometr_dm2010f_isp_v_0_6_0_atm_ip40_m20kh1_5_rsh/" TargetMode="External"/><Relationship Id="rId215" Type="http://schemas.openxmlformats.org/officeDocument/2006/relationships/hyperlink" Target="https://lab-oborudovanie.ru/catalog/manometr-dm2010-isp-5-0-60-mpa/" TargetMode="External"/><Relationship Id="rId216" Type="http://schemas.openxmlformats.org/officeDocument/2006/relationships/hyperlink" Target="https://www.fiztech.ru/catalog/manometry/693/" TargetMode="External"/><Relationship Id="rId217" Type="http://schemas.openxmlformats.org/officeDocument/2006/relationships/hyperlink" Target="https://www.manometer-spb.ru/catalog/manometry/elektrokontaktnye_ekm/6690/" TargetMode="External"/><Relationship Id="rId218" Type="http://schemas.openxmlformats.org/officeDocument/2006/relationships/hyperlink" Target="https://msk.specarmatura.ru/catalog/manometry_elektrokontaktnye_fiztekh/manometr_dm2010f_isp_v_0_60_0_atm_ip40_m20kh1_5_rsh/" TargetMode="External"/><Relationship Id="rId219" Type="http://schemas.openxmlformats.org/officeDocument/2006/relationships/hyperlink" Target="https://afkmarket.ru/catalog/pribory-ucheta-i-kipia/manometry/29637/" TargetMode="External"/><Relationship Id="rId220" Type="http://schemas.openxmlformats.org/officeDocument/2006/relationships/hyperlink" Target="https://lab-oborudovanie.ru/catalog/manometr-dm2010-isp-5-0-6-mpa/" TargetMode="External"/><Relationship Id="rId221" Type="http://schemas.openxmlformats.org/officeDocument/2006/relationships/hyperlink" Target="https://knopka.org/catalog/kantselyarskie-tovary/pismennie-prinadlejnosti/markery/marker-kraska/marker-kraska_58073.html?ysclid=lnn3h6eba5631905189" TargetMode="External"/><Relationship Id="rId222" Type="http://schemas.openxmlformats.org/officeDocument/2006/relationships/hyperlink" Target="https://kancnika.ru/catalog/pis-mennye-prinadlezhnosti/markery-flomastery/markery-spetsial-nye/Marker-kraska-BLACK-chernyy-4mm.html?ysclid=lnn3j2e0nt688273093" TargetMode="External"/><Relationship Id="rId223" Type="http://schemas.openxmlformats.org/officeDocument/2006/relationships/hyperlink" Target="https://www.officemag.ru/catalog/goods/151481/" TargetMode="External"/><Relationship Id="rId224" Type="http://schemas.openxmlformats.org/officeDocument/2006/relationships/hyperlink" Target="https://leroymerlin.ru/product/marker-kraska-munhwa-82386606/?ysclid=lreu2ptily276140315&amp;utm_referrer=https%3A%2F%2Fya.ru%2F" TargetMode="External"/><Relationship Id="rId225" Type="http://schemas.openxmlformats.org/officeDocument/2006/relationships/hyperlink" Target="https://stavropol.kuvalda.ru/catalog/7839/product-116121/?ysclid=lreu99hbxc361246411" TargetMode="External"/><Relationship Id="rId226" Type="http://schemas.openxmlformats.org/officeDocument/2006/relationships/hyperlink" Target="https://www.vseinstrumenti.ru/product/maslo-compressor-s-synth-100-1-l-gazpromneft-253721871-1175782/otzyvy/" TargetMode="External"/><Relationship Id="rId227" Type="http://schemas.openxmlformats.org/officeDocument/2006/relationships/hyperlink" Target="https://amertend.ru/gazpromneft-compressor-s-synth-100" TargetMode="External"/><Relationship Id="rId228" Type="http://schemas.openxmlformats.org/officeDocument/2006/relationships/hyperlink" Target="https://piteroils.ru/catalog/industrialnye_smazochnye_materialy/kompressornye/gazprom_neft_8/26841/" TargetMode="External"/><Relationship Id="rId229" Type="http://schemas.openxmlformats.org/officeDocument/2006/relationships/hyperlink" Target="https://megamarket.ru/catalog/details/maslo-kompressornoe-gazpromneft-compressor-s-synth-100-1l-253721871-600005570435/?ysclid=lrey40ntaq13979534" TargetMode="External"/><Relationship Id="rId230" Type="http://schemas.openxmlformats.org/officeDocument/2006/relationships/hyperlink" Target="https://www.vseinstrumenti.ru/product/maslo-compressor-s-synth-100-1-l-gazpromneft-253721871-1175782/?ysclid=lrey3ssap859720018" TargetMode="External"/><Relationship Id="rId231" Type="http://schemas.openxmlformats.org/officeDocument/2006/relationships/hyperlink" Target="https://leroymerlin.ru/product/maslo-dlya-kompressora-gazpromneft-compres-s-synth-100-1-l-82680707/?ysclid=lrey1wlua4125993148&amp;utm_referrer=https%3A%2F%2Fya.ru%2F" TargetMode="External"/><Relationship Id="rId232" Type="http://schemas.openxmlformats.org/officeDocument/2006/relationships/hyperlink" Target="https://www.autoopt.ru/catalog/733654-maslo_kompressornoe_compressor_s_synth_150_205l180kg_gazpromneft" TargetMode="External"/><Relationship Id="rId233" Type="http://schemas.openxmlformats.org/officeDocument/2006/relationships/hyperlink" Target="https://amertend.ru/gazpromneft-compressor-s-synth-150" TargetMode="External"/><Relationship Id="rId234" Type="http://schemas.openxmlformats.org/officeDocument/2006/relationships/hyperlink" Target="https://vils.ru/catalog/kompressornye_masla/gazpromneft_compressor_s_synth_150/?offer=41867" TargetMode="External"/><Relationship Id="rId235" Type="http://schemas.openxmlformats.org/officeDocument/2006/relationships/hyperlink" Target="https://oil-store.ru/masla-i-smazki/industrialnye-masla/kompressornye-masla/kompressornoe-maslo-gazpromneft-compressor-s-synth-150-205l/" TargetMode="External"/><Relationship Id="rId236" Type="http://schemas.openxmlformats.org/officeDocument/2006/relationships/hyperlink" Target="https://market.yandex.ru/product--kompressornoe-maslo-gazpromneft-compressor-s-synth-150-205-l/1928907666?sku=101918768244&amp;do-waremd5=dT5LuY8jISq6tDkeg-YAvQ&amp;uniqueId=14123210" TargetMode="External"/><Relationship Id="rId237" Type="http://schemas.openxmlformats.org/officeDocument/2006/relationships/hyperlink" Target="https://www.autoopt.ru/catalog/733654-maslo_kompressornoe_compressor_s_synth_150_205l180kg_gazpromneft?ysclid=lreykdnxqu664170247" TargetMode="External"/><Relationship Id="rId238" Type="http://schemas.openxmlformats.org/officeDocument/2006/relationships/hyperlink" Target="https://ru.lukoil-shop.com/catalog/kommercheskiy_transport/motornye_masla/maslo_motornoe_lukoyl_avangard_mineralnoe_15w_40_api_cf_4_sg/" TargetMode="External"/><Relationship Id="rId239" Type="http://schemas.openxmlformats.org/officeDocument/2006/relationships/hyperlink" Target="https://baza.drom.ru/ekaterinburg/chemistry/motoroil/maslo-motornoe-lukoil-avangard-extra-15w-40-cg-4-e5-mineralnoe-5-l-dlja-kommerch-tehniki-lukoil-1552367-g12763204629.html" TargetMode="External"/><Relationship Id="rId240" Type="http://schemas.openxmlformats.org/officeDocument/2006/relationships/hyperlink" Target="https://www.arsenal-msk.ru/catalog/dlya-kommercheskogo-transporta/lukoyl-avangard-15w-40/" TargetMode="External"/><Relationship Id="rId241" Type="http://schemas.openxmlformats.org/officeDocument/2006/relationships/hyperlink" Target="https://maslenych.ru/shop/avtomasla/motornye_masla/40044/" TargetMode="External"/><Relationship Id="rId242" Type="http://schemas.openxmlformats.org/officeDocument/2006/relationships/hyperlink" Target="https://ru.lukoil-shop.com/catalog/kommercheskiy_transport/motornye_masla/maslo_motornoe_lukoyl_avangard_mineralnoe_15w_40_api_cf_4_sg/?ysclid=lrezh29s5i793370538" TargetMode="External"/><Relationship Id="rId243" Type="http://schemas.openxmlformats.org/officeDocument/2006/relationships/hyperlink" Target="https://piteroils.ru/catalog/gruzovye_masla/otechestvennye_1/lukoyl_1/polusinteticheskie_18/13191/" TargetMode="External"/><Relationship Id="rId244" Type="http://schemas.openxmlformats.org/officeDocument/2006/relationships/hyperlink" Target="https://www.vsemasla.com/lukojl-avangard-ul-tra-10w-40-ci-4-sl/" TargetMode="External"/><Relationship Id="rId245" Type="http://schemas.openxmlformats.org/officeDocument/2006/relationships/hyperlink" Target="https://hyperauto.ru/product/maslo-motornoe-lukoyl-avantgarde-ultra-10w40-polusinteticheskoe-api-sl-ci-4-acea-e7-jaso-dh-1-dlya-dizelnogo-dvigatelya-5l-art-19518-000017864/" TargetMode="External"/><Relationship Id="rId246" Type="http://schemas.openxmlformats.org/officeDocument/2006/relationships/hyperlink" Target="https://oil-store.ru/masla-i-smazki/motornye-masla/gruzovoj-transport/motornoe-maslo-lukojl-avangard-ultra-10w-40-50l/" TargetMode="External"/><Relationship Id="rId247" Type="http://schemas.openxmlformats.org/officeDocument/2006/relationships/hyperlink" Target="https://b2b.lukoil-shop.ru/product/lukoil_avantgarde_ultra_10w_40/" TargetMode="External"/><Relationship Id="rId248" Type="http://schemas.openxmlformats.org/officeDocument/2006/relationships/hyperlink" Target="https://shop220.ru/kkm11-018-230-01-kontaktor-kmi-11811-18a-230v-as3-1nz-iek.htm" TargetMode="External"/><Relationship Id="rId249" Type="http://schemas.openxmlformats.org/officeDocument/2006/relationships/hyperlink" Target="https://www.etm.ru/cat/nn/9751780?city=77" TargetMode="External"/><Relationship Id="rId250" Type="http://schemas.openxmlformats.org/officeDocument/2006/relationships/hyperlink" Target="https://rs24.ru/product/30482" TargetMode="External"/><Relationship Id="rId251" Type="http://schemas.openxmlformats.org/officeDocument/2006/relationships/hyperlink" Target="https://www.elektro.ru/product/kontaktor_kmi-11811_18a_400v_as3_1nz_iek/?ysclid=lrfwyyu02871443555" TargetMode="External"/><Relationship Id="rId252" Type="http://schemas.openxmlformats.org/officeDocument/2006/relationships/hyperlink" Target="https://www.chipdip.ru/product0/8000856354" TargetMode="External"/><Relationship Id="rId253" Type="http://schemas.openxmlformats.org/officeDocument/2006/relationships/hyperlink" Target="https://ledgoods.ru/ehlektrotekhnika/kontaktory/minikontaktory/kontaktor-kmi-22511-25a-230v-as3-1nz-kkm21-025-230-01-iek/" TargetMode="External"/><Relationship Id="rId254" Type="http://schemas.openxmlformats.org/officeDocument/2006/relationships/hyperlink" Target="https://elevel.ru/shop/nizkovoltnoe-oborudovanie/kontaktory/iek-kontaktor-kmi-22511-25a-230v-as3-1nz/?ysclid=lnn3vbaxbe794611308" TargetMode="External"/><Relationship Id="rId255" Type="http://schemas.openxmlformats.org/officeDocument/2006/relationships/hyperlink" Target="https://www.elektro.ru/product/kontaktor_kmi-22511_25a_230v_as3_1nz_iek/?ysclid=lnn3vd85mf333358050" TargetMode="External"/><Relationship Id="rId256" Type="http://schemas.openxmlformats.org/officeDocument/2006/relationships/hyperlink" Target="https://www.vseinstrumenti.ru/product/kontaktor-iek-kmi-22511-25a-220v-iek-kkm21-025-230-01-1172033/?ysclid=lrfx9rg2sq369511159" TargetMode="External"/><Relationship Id="rId257" Type="http://schemas.openxmlformats.org/officeDocument/2006/relationships/hyperlink" Target="https://zipzap24.ru/drives-and-timing/remen-ventilyatora-k-kt-2sht-belt-art-2614b655" TargetMode="External"/><Relationship Id="rId258" Type="http://schemas.openxmlformats.org/officeDocument/2006/relationships/hyperlink" Target="https://www.hited-shop.ru/product/remen-ventilyatora-belt-art2614b655" TargetMode="External"/><Relationship Id="rId259" Type="http://schemas.openxmlformats.org/officeDocument/2006/relationships/hyperlink" Target="https://dg-trade.ru/catalog/zapchasti-dlya-dvigateley/zapchasti-perkins/remen-sistemy-okhlazhdeniya-perkins-2614b655/" TargetMode="External"/><Relationship Id="rId260" Type="http://schemas.openxmlformats.org/officeDocument/2006/relationships/hyperlink" Target="https://impart.online/catalog/2614b655-remen-k-kt-iz-2kh-sht-perkins-lupsls/?ysclid=lrfxr1ngz376048122" TargetMode="External"/><Relationship Id="rId261" Type="http://schemas.openxmlformats.org/officeDocument/2006/relationships/hyperlink" Target="https://www.autoopt.ru/catalog/911424-remen_privodnoj_klinovoj_13h1075_contitech" TargetMode="External"/><Relationship Id="rId262" Type="http://schemas.openxmlformats.org/officeDocument/2006/relationships/hyperlink" Target="https://avto-sistem.ru/baskets" TargetMode="External"/><Relationship Id="rId263" Type="http://schemas.openxmlformats.org/officeDocument/2006/relationships/hyperlink" Target="https://autocode.ru/price/Contitech/AVX13X1075" TargetMode="External"/><Relationship Id="rId264" Type="http://schemas.openxmlformats.org/officeDocument/2006/relationships/hyperlink" Target="https://www.tss.ru/catalog/zapchasti/zapasnye_chasti_dlya_dizelnykh_dvigateley/dvigateli_perkins/zapchasti_dlya_perkins_404_d_22g_ad_16_m18/remen_privoda_generatora_998_378_10000_66575_fg_wilson_004160/" TargetMode="External"/><Relationship Id="rId265" Type="http://schemas.openxmlformats.org/officeDocument/2006/relationships/hyperlink" Target="https://trustenergo.ru/catalog/zapasnye-chasti-dlya-dizelnykh-dvigateley/tss/remen-privoda-generatora-998-378-10000-66575-fg-wilson/" TargetMode="External"/><Relationship Id="rId266" Type="http://schemas.openxmlformats.org/officeDocument/2006/relationships/hyperlink" Target="https://www.rekon-russia.ru/catalog/detail/remen_privoda_generatora_998_378_10000_66575_fg_wilson/" TargetMode="External"/><Relationship Id="rId267" Type="http://schemas.openxmlformats.org/officeDocument/2006/relationships/hyperlink" Target="https://tss52.com/catalog/zapchasti/dlya-dizelnykh-dvigateley/perkins-dizel/perkins-404-d-22g-ad-16-m18/remen-privoda-generatora-998-378-10000-66575-fg-wilson/?ysclid=lrfykes390518290689" TargetMode="External"/><Relationship Id="rId268" Type="http://schemas.openxmlformats.org/officeDocument/2006/relationships/hyperlink" Target="https://ati-auto.ru/catalog/rubena/88675/" TargetMode="External"/><Relationship Id="rId269" Type="http://schemas.openxmlformats.org/officeDocument/2006/relationships/hyperlink" Target="https://gettzap.ru/cart" TargetMode="External"/><Relationship Id="rId270" Type="http://schemas.openxmlformats.org/officeDocument/2006/relationships/hyperlink" Target="https://jetauto39.ru/baskets" TargetMode="External"/><Relationship Id="rId271" Type="http://schemas.openxmlformats.org/officeDocument/2006/relationships/hyperlink" Target="https://motorteile.ru/products/OPTIBELT/AVX13X1325TM.html" TargetMode="External"/><Relationship Id="rId272" Type="http://schemas.openxmlformats.org/officeDocument/2006/relationships/hyperlink" Target="https://baza.drom.ru/barnaul/sell_spare_parts/remen-grm-contitech-avx13x1325-113231681.html" TargetMode="External"/><Relationship Id="rId273" Type="http://schemas.openxmlformats.org/officeDocument/2006/relationships/hyperlink" Target="https://euroauto.ru/cart/" TargetMode="External"/><Relationship Id="rId274" Type="http://schemas.openxmlformats.org/officeDocument/2006/relationships/hyperlink" Target="https://partsell.ru/zakaz" TargetMode="External"/><Relationship Id="rId275" Type="http://schemas.openxmlformats.org/officeDocument/2006/relationships/hyperlink" Target="https://www.tradicia-k.ru/catalog/remni-perkins/" TargetMode="External"/><Relationship Id="rId276" Type="http://schemas.openxmlformats.org/officeDocument/2006/relationships/hyperlink" Target="https://impart.online/catalog/remen-ventilyatora-20000-12379-981-209-2614b655-2614b555-fg-wilson-n47b10/" TargetMode="External"/><Relationship Id="rId277" Type="http://schemas.openxmlformats.org/officeDocument/2006/relationships/hyperlink" Target="https://fg-wilson.ru/product/filtr-vozdushnyy-elementair-filter-element-art-10000-51238" TargetMode="External"/><Relationship Id="rId278" Type="http://schemas.openxmlformats.org/officeDocument/2006/relationships/hyperlink" Target="https://pecmall.ru/products/FG-WILSON/1000051238.html" TargetMode="External"/><Relationship Id="rId279" Type="http://schemas.openxmlformats.org/officeDocument/2006/relationships/hyperlink" Target="https://zapchasti-generator.ru/catalog/zapchasti_i_raskhodnye_materialy/zapchasti-dlya-dvigateley/filtry_/vozdushnye/filtr_vozdushnyy_fg_willson_perkins_901_048_26510342/?utm_source=yd_context&amp;utm_medium=cpc&amp;utm_campaign=84814378&amp;utm_content=5152750150-13" TargetMode="External"/><Relationship Id="rId280" Type="http://schemas.openxmlformats.org/officeDocument/2006/relationships/hyperlink" Target="https://fg-wilson.ru/product/filtr-vozdushnyy-901-046-26510362-915-660-art-901-046" TargetMode="External"/><Relationship Id="rId281" Type="http://schemas.openxmlformats.org/officeDocument/2006/relationships/hyperlink" Target="https://pecmall.ru/products/FG-WILSON/901046.html" TargetMode="External"/><Relationship Id="rId282" Type="http://schemas.openxmlformats.org/officeDocument/2006/relationships/hyperlink" Target="https://agroserver.ru/b/filtr-vozdushnyy-fg-wilson-901-046-26510362-915-660-1539830.htm" TargetMode="External"/><Relationship Id="rId283" Type="http://schemas.openxmlformats.org/officeDocument/2006/relationships/hyperlink" Target="https://autopiter.ru/cart" TargetMode="External"/><Relationship Id="rId284" Type="http://schemas.openxmlformats.org/officeDocument/2006/relationships/hyperlink" Target="https://texnostimul.ru/baskets" TargetMode="External"/><Relationship Id="rId285" Type="http://schemas.openxmlformats.org/officeDocument/2006/relationships/hyperlink" Target="https://arkopart.ru/baskets" TargetMode="External"/><Relationship Id="rId286" Type="http://schemas.openxmlformats.org/officeDocument/2006/relationships/hyperlink" Target="https://autopiter.ru/goods/af25539/fleetguard/id21461873" TargetMode="External"/><Relationship Id="rId287" Type="http://schemas.openxmlformats.org/officeDocument/2006/relationships/hyperlink" Target="https://baza.drom.ru/tyumen/sell_spare_parts/filtr-vozdushnyj-mtz-dv-lombardini-fleetguard-fleetguard-art-af25539-g14339684661.html" TargetMode="External"/><Relationship Id="rId288" Type="http://schemas.openxmlformats.org/officeDocument/2006/relationships/hyperlink" Target="https://gmgauto.ru/baskets" TargetMode="External"/><Relationship Id="rId289" Type="http://schemas.openxmlformats.org/officeDocument/2006/relationships/hyperlink" Target="https://www.autoopt.ru/catalog/961833-filtr_masljanyj_caterpillar_fleetguard" TargetMode="External"/><Relationship Id="rId290" Type="http://schemas.openxmlformats.org/officeDocument/2006/relationships/hyperlink" Target="https://emex.ru/basket" TargetMode="External"/><Relationship Id="rId291" Type="http://schemas.openxmlformats.org/officeDocument/2006/relationships/hyperlink" Target="https://fetparts.ru/baskets" TargetMode="External"/><Relationship Id="rId292" Type="http://schemas.openxmlformats.org/officeDocument/2006/relationships/hyperlink" Target="https://avsila.ru/catalog/masla-avtokosmetika-avtokhimiya/germetiki/germetik-abro-silikonovyy-seryy-85-gr-original-99-ab/" TargetMode="External"/><Relationship Id="rId293" Type="http://schemas.openxmlformats.org/officeDocument/2006/relationships/hyperlink" Target="https://www.avtoall.ru/germetik_prokladka_seryiy_termostoiykiiy_85g_999_oem__ssha__abro-073340/?withoutSuppliers=1" TargetMode="External"/><Relationship Id="rId294" Type="http://schemas.openxmlformats.org/officeDocument/2006/relationships/hyperlink" Target="https://www.chipdip.ru/product0/8013231474" TargetMode="External"/><Relationship Id="rId295" Type="http://schemas.openxmlformats.org/officeDocument/2006/relationships/hyperlink" Target="https://instrument-40.ru/transmissionnoe-maslo-vitex-tad-17-tm-5-18-10-l-v324805" TargetMode="External"/><Relationship Id="rId296" Type="http://schemas.openxmlformats.org/officeDocument/2006/relationships/hyperlink" Target="https://yunimag.ru/goods/1401431-transmissionnoe-maslo-vitex-tad-17tm-5-18-v324805.html" TargetMode="External"/><Relationship Id="rId297" Type="http://schemas.openxmlformats.org/officeDocument/2006/relationships/hyperlink" Target="https://novorossiysk.vseinstrumenti.ru/product/transmissionnoe-maslo-vitex-tad-17-tm-5-18-10-l-v324805-1582198/?ysclid=lnn32euvjo575984245" TargetMode="External"/><Relationship Id="rId298" Type="http://schemas.openxmlformats.org/officeDocument/2006/relationships/hyperlink" Target="https://smetiz.ru/tovary/gajki/gost-5915-70-d4-k5-mstal-pczink-h0-l0-ca2-akrupnyij-srossiya-117397/" TargetMode="External"/><Relationship Id="rId299" Type="http://schemas.openxmlformats.org/officeDocument/2006/relationships/hyperlink" Target="https://kst21.ru/catalog/gayka_shestigrannaya_gost_5915_5927_din_934/gayka_m_4_otsink_kl_pr_8_0_din_934_gost_5915/" TargetMode="External"/><Relationship Id="rId300" Type="http://schemas.openxmlformats.org/officeDocument/2006/relationships/hyperlink" Target="https://smetiz.ru/tovary/gajki/gost-5915-70-d5-k5-mstal-pbez-pokryitiya-h0-l0-ca2-akrupnyij-srossiya-121664/" TargetMode="External"/><Relationship Id="rId301" Type="http://schemas.openxmlformats.org/officeDocument/2006/relationships/hyperlink" Target="https://www.mtk-fortuna.ru/listdiams.aspx?gradeid=1520" TargetMode="External"/><Relationship Id="rId302" Type="http://schemas.openxmlformats.org/officeDocument/2006/relationships/hyperlink" Target="https://megamarket.ru/catalog/details/germetik-silikonovyy-prozrachnyy-310-g-vysokotemperaturnyy-abro-ss-1200-clr-abro-art-ss-12-100025302233/" TargetMode="External"/><Relationship Id="rId303" Type="http://schemas.openxmlformats.org/officeDocument/2006/relationships/hyperlink" Target="https://www.chipdip.ru/product0/8022187512" TargetMode="External"/><Relationship Id="rId304" Type="http://schemas.openxmlformats.org/officeDocument/2006/relationships/hyperlink" Target="https://leroymerlin.ru/product/germetik-silikonovyy-abro-ss-1200-clr1200-prozrachnyy-310-ml-90342403/?utm_referrer=https%3A%2F%2Fyandex.ru%2Fsearch%2F%3Ftext%3D%25D0%25A1%25D0%25B8%25D0%25BB%25D0%25B8%25D0%25BA%25D0%25BE%25D0%25BD%25D0%25BE%25D0%25B2%25D1" TargetMode="External"/><Relationship Id="rId305" Type="http://schemas.openxmlformats.org/officeDocument/2006/relationships/hyperlink" Target="https://nevinnomyssk.kupi.ru/product/180-kley-spetsialnyy-moment-stolyar-770835763/" TargetMode="External"/><Relationship Id="rId306" Type="http://schemas.openxmlformats.org/officeDocument/2006/relationships/hyperlink" Target="https://www.onlinetrade.ru/catalogue/kley-c3491/moment/kley_dlya_dereva_moment_stolyar_422981_250_g-545082.html" TargetMode="External"/><Relationship Id="rId307" Type="http://schemas.openxmlformats.org/officeDocument/2006/relationships/hyperlink" Target="https://www.etm.ru/cat/nn/9869907" TargetMode="External"/><Relationship Id="rId308" Type="http://schemas.openxmlformats.org/officeDocument/2006/relationships/hyperlink" Target="https://kraski-dl.ru/product/kraska-nerzhamet-ral-1028-zhyoltaya-dynya-antiko/" TargetMode="External"/><Relationship Id="rId309" Type="http://schemas.openxmlformats.org/officeDocument/2006/relationships/hyperlink" Target="https://wooood.ru/catalog/emal/kraska_po_metallu_antikorrozionnaya_nerzhamet_10_kg/?oid=7108" TargetMode="External"/><Relationship Id="rId310" Type="http://schemas.openxmlformats.org/officeDocument/2006/relationships/hyperlink" Target="https://color-servis.ru/catalog/soputstvuyushchie_tovary/anti_koroziynye_kraski/923/" TargetMode="External"/><Relationship Id="rId311" Type="http://schemas.openxmlformats.org/officeDocument/2006/relationships/hyperlink" Target="https://spb-orion.ru/product/nerzhamet/?ysclid=lrg7w91j5z245218018" TargetMode="External"/><Relationship Id="rId312" Type="http://schemas.openxmlformats.org/officeDocument/2006/relationships/hyperlink" Target="https://kraski-dl.ru/product/kraska-nerzhamet-ral-1028-zhyoltaya-dynya-antiko/" TargetMode="External"/><Relationship Id="rId313" Type="http://schemas.openxmlformats.org/officeDocument/2006/relationships/hyperlink" Target="https://kraski-dl.ru/product/kraska-nerzhamet-ral-6020-zelenyj-hrom-antikorrozionnaya-poluglyanczevaya-dlya-metalla-krasko/" TargetMode="External"/><Relationship Id="rId314" Type="http://schemas.openxmlformats.org/officeDocument/2006/relationships/hyperlink" Target="https://ral.ru.com/catalog/kraski-ral/kraska-po-rzhavchine-ral/grunt-emal-nerzhamet-po-rzhavchine-poluglyantsevaya-3-v-1-8-kg/" TargetMode="External"/><Relationship Id="rId315" Type="http://schemas.openxmlformats.org/officeDocument/2006/relationships/hyperlink" Target="https://spb-orion.ru/product/nerzhamet/" TargetMode="External"/><Relationship Id="rId316" Type="http://schemas.openxmlformats.org/officeDocument/2006/relationships/hyperlink" Target="https://spb-orion.ru/product/nerzhamet/?ysclid=lrg7w91j5z245218018" TargetMode="External"/><Relationship Id="rId317" Type="http://schemas.openxmlformats.org/officeDocument/2006/relationships/hyperlink" Target="https://kraski-dl.ru/product/kraska-nerzhamet-ral-6029-zelenaya-myata-antikorrozionnaya-poluglyanczevaya-dlya-metalla-krasko/" TargetMode="External"/><Relationship Id="rId318" Type="http://schemas.openxmlformats.org/officeDocument/2006/relationships/hyperlink" Target="https://kraski-dl.ru/product/kraska-nerzhamet-ral-3001-signalnyj-krasnyj/" TargetMode="External"/><Relationship Id="rId319" Type="http://schemas.openxmlformats.org/officeDocument/2006/relationships/hyperlink" Target="https://market.yandex.ru/catalog--emali/18060863/list?srnum=1&amp;was_redir=1&amp;rt=9&amp;rs=eJwdkD1Iw0AcxRNbm6JLHNRBJIeDg-Li5kchk3PRwfUQZzcddPDUwaKIOAmBQsDB4lAKUgVNNYNCMUovYDeRjG6Ki-Ci997y49279_-4m37Ile3NfLGb9Aa2p6u6mSp9pRs6MmpX6BtzbKQ7umV4fGH3FSvnR45b7x46OATfnYJ7k" TargetMode="External"/><Relationship Id="rId320" Type="http://schemas.openxmlformats.org/officeDocument/2006/relationships/hyperlink" Target="https://lkmflot.ru/kraski-i-emali/naruzhnye-i-vnutrennie/krasko/kraska-grunt-dlya-metalla-krasko-nerzhamet/" TargetMode="External"/><Relationship Id="rId321" Type="http://schemas.openxmlformats.org/officeDocument/2006/relationships/hyperlink" Target="https://spb-orion.ru/product/nerzhamet/?ysclid=lrg7w91j5z245218018" TargetMode="External"/><Relationship Id="rId322" Type="http://schemas.openxmlformats.org/officeDocument/2006/relationships/hyperlink" Target="https://kraski-dl.ru/product/kraska-nerzhamet-ral-3020-transportnyj-krasn/" TargetMode="External"/><Relationship Id="rId323" Type="http://schemas.openxmlformats.org/officeDocument/2006/relationships/hyperlink" Target="https://postroyka-nv.ru/catalog/show/Emal_NERZHAMETRAL7040seryj20kg" TargetMode="External"/><Relationship Id="rId324" Type="http://schemas.openxmlformats.org/officeDocument/2006/relationships/hyperlink" Target="https://market.yandex.ru/product--profi-roof/1824487696/spec?track=char" TargetMode="External"/><Relationship Id="rId325" Type="http://schemas.openxmlformats.org/officeDocument/2006/relationships/hyperlink" Target="https://ekb.pulscen.ru/products/grunt_emal_nerzhamet_49323632" TargetMode="External"/><Relationship Id="rId326" Type="http://schemas.openxmlformats.org/officeDocument/2006/relationships/hyperlink" Target="https://spb-orion.ru/product/nerzhamet/?ysclid=lrg7w91j5z245218018" TargetMode="External"/><Relationship Id="rId327" Type="http://schemas.openxmlformats.org/officeDocument/2006/relationships/hyperlink" Target="https://color1.ru/alkidnaya-antikorrozionnaya-grunt-emal-indosingl-tsvet-ral-7032-1kg" TargetMode="External"/><Relationship Id="rId328" Type="http://schemas.openxmlformats.org/officeDocument/2006/relationships/hyperlink" Target="https://profkolor.ru/goods/Kod-po-katalogu-RAL7032-2K-antikorrozijnaya-akrilovaya-grunt-jemal-Naimenovanie-kraski-Kieselgrau-Seraya-galka" TargetMode="External"/><Relationship Id="rId329" Type="http://schemas.openxmlformats.org/officeDocument/2006/relationships/hyperlink" Target="https://leroymerlin-jeb.ru/tovary/stroitelstvo-i-remont/materialy/alkidnaya-antikorrozionnaya-grunt-emal-indosingl-cvet-ral-7034-1kg" TargetMode="External"/><Relationship Id="rId330" Type="http://schemas.openxmlformats.org/officeDocument/2006/relationships/hyperlink" Target="https://kraski-dl.ru/product/kraska-nerzhamet-ral-7032-seraya-galka-antikorrozionnaya-poluglyanczevaya-dlya-metalla-krasko/" TargetMode="External"/><Relationship Id="rId331" Type="http://schemas.openxmlformats.org/officeDocument/2006/relationships/hyperlink" Target="https://www.bafus.ru/200716029/" TargetMode="External"/><Relationship Id="rId332" Type="http://schemas.openxmlformats.org/officeDocument/2006/relationships/hyperlink" Target="https://kraski-dl.ru/product/kraska-nerzhamet-ral-9017-chyornyj-transportny/" TargetMode="External"/><Relationship Id="rId333" Type="http://schemas.openxmlformats.org/officeDocument/2006/relationships/hyperlink" Target="https://postroyka-nv.ru/catalog/show/Emal_NERZHAMETRAL7040seryj20kg" TargetMode="External"/><Relationship Id="rId334" Type="http://schemas.openxmlformats.org/officeDocument/2006/relationships/hyperlink" Target="https://electrovent.ru/elektrotehnicheskie-tovary/lampy/energosberegayuschie-lampy/energosberegayuschaya-lampa-philips-softone-esaver-11w-827-e27-230-240v-t60/" TargetMode="External"/><Relationship Id="rId335" Type="http://schemas.openxmlformats.org/officeDocument/2006/relationships/hyperlink" Target="https://ledgoods.ru/osveshchenie/lamps/lampy-ehnergosberegayushchie-kll/lampa-lyuminescentnaya-kll-genie-es-11w-ww-e27-220-240v-1pf-6-871150080119710-ph80119710-philips/" TargetMode="External"/><Relationship Id="rId336" Type="http://schemas.openxmlformats.org/officeDocument/2006/relationships/hyperlink" Target="https://www.smartlamps.ru/products/softone-esaver-11w-827-e27-230-240v-t60-d60x114-philips-lampa" TargetMode="External"/><Relationship Id="rId337" Type="http://schemas.openxmlformats.org/officeDocument/2006/relationships/hyperlink" Target="https://www.chipdip.ru/product0/8173557661?ysclid=lnnduye3ft880435890" TargetMode="External"/><Relationship Id="rId338" Type="http://schemas.openxmlformats.org/officeDocument/2006/relationships/hyperlink" Target="https://rs24.ru/product/165966" TargetMode="External"/><Relationship Id="rId339" Type="http://schemas.openxmlformats.org/officeDocument/2006/relationships/hyperlink" Target="https://www.etm.ru/cat/nn/1811446?ysclid=lnndurbfbl890260666&amp;city=77" TargetMode="External"/><Relationship Id="rId340" Type="http://schemas.openxmlformats.org/officeDocument/2006/relationships/hyperlink" Target="https://www.etm.ru/cat/nn/9053610?city=77" TargetMode="External"/><Relationship Id="rId341" Type="http://schemas.openxmlformats.org/officeDocument/2006/relationships/hyperlink" Target="https://electro-materiali.ru/catalog/lampy-istochniki-sveta/lampy-luminestsentnye/lampy-kompaktnye-lyuministsentnye-i-lyuministsentnye-uniel/102649/" TargetMode="External"/><Relationship Id="rId342" Type="http://schemas.openxmlformats.org/officeDocument/2006/relationships/hyperlink" Target="https://elkon.su/lampa-energosberegayushchaya-kll-45-842-e27-d64x157-spiral-kosmos/" TargetMode="External"/><Relationship Id="rId343" Type="http://schemas.openxmlformats.org/officeDocument/2006/relationships/hyperlink" Target="https://nevinnomissk.promportal.su/goods/37468248/labomid-203.htm" TargetMode="External"/><Relationship Id="rId344" Type="http://schemas.openxmlformats.org/officeDocument/2006/relationships/hyperlink" Target="https://fedexpert.ru/catalog/khimiya/moyushchie_sredstva/tekhnicheskie_moyushchie_sredstva/8594/" TargetMode="External"/><Relationship Id="rId345" Type="http://schemas.openxmlformats.org/officeDocument/2006/relationships/hyperlink" Target="https://www.eko-tec.ru/product/5166279/" TargetMode="External"/><Relationship Id="rId346" Type="http://schemas.openxmlformats.org/officeDocument/2006/relationships/hyperlink" Target="https://stavropol.pulscen.ru/products/labomid_203_fasovka_35_kg_59604586" TargetMode="External"/><Relationship Id="rId347" Type="http://schemas.openxmlformats.org/officeDocument/2006/relationships/hyperlink" Target="https://www.aquateka.ru/?cat=products&amp;prod=tehnicheskoe-moyushee-sredstvo-labomid-203-40-kg-650040" TargetMode="External"/><Relationship Id="rId348" Type="http://schemas.openxmlformats.org/officeDocument/2006/relationships/hyperlink" Target="https://www.td-polimer54.ru/goods/84558460-labomid_203" TargetMode="External"/><Relationship Id="rId349" Type="http://schemas.openxmlformats.org/officeDocument/2006/relationships/hyperlink" Target="https://www.vseinstrumenti.ru/product/lampa-gauss-led-elementary-a60-15w-e27-1480lm-6500k-23235-942504/" TargetMode="External"/><Relationship Id="rId350" Type="http://schemas.openxmlformats.org/officeDocument/2006/relationships/hyperlink" Target="https://www.etm.ru/cat/nn/8532745" TargetMode="External"/><Relationship Id="rId351" Type="http://schemas.openxmlformats.org/officeDocument/2006/relationships/hyperlink" Target="https://leroymerlin.ru/product/lampa-svetodiodnaya-osram-grusha-15vt-1521lm-e27-holodnyy-belyy-svet-85099643/" TargetMode="External"/><Relationship Id="rId352" Type="http://schemas.openxmlformats.org/officeDocument/2006/relationships/hyperlink" Target="https://krasnodar.specstali.ru/product/folga-latunnaja-dlja-pajki-l63-0-05-mm-gost-2208-2007-listovaja/" TargetMode="External"/><Relationship Id="rId353" Type="http://schemas.openxmlformats.org/officeDocument/2006/relationships/hyperlink" Target="https://metall-77.ru/folga-latunnaya" TargetMode="External"/><Relationship Id="rId354" Type="http://schemas.openxmlformats.org/officeDocument/2006/relationships/hyperlink" Target="https://snabservis.ru/catalog/latunnaya-folga/" TargetMode="External"/><Relationship Id="rId355" Type="http://schemas.openxmlformats.org/officeDocument/2006/relationships/hyperlink" Target="https://www.vseinstrumenti.ru/product/montazhnyj-klej-ceresit-cb-10-1864068-3014720/" TargetMode="External"/><Relationship Id="rId356" Type="http://schemas.openxmlformats.org/officeDocument/2006/relationships/hyperlink" Target="https://ts-krovizol.ru/catalog/product/akrilovyy-montazhnyy-kley-ceresit-cb-10-400-gr/" TargetMode="External"/><Relationship Id="rId357" Type="http://schemas.openxmlformats.org/officeDocument/2006/relationships/hyperlink" Target="https://www.stroyshopper.ru/product/klej_montazhnyj_akrilovyj_ceresit_cb_10/" TargetMode="External"/><Relationship Id="rId358" Type="http://schemas.openxmlformats.org/officeDocument/2006/relationships/hyperlink" Target="https://www.mirkrasok.ru/product/ceresit_cn_178_tserezit_smes_legko_vyravnivayushchayasya/sku_184941/" TargetMode="External"/><Relationship Id="rId359" Type="http://schemas.openxmlformats.org/officeDocument/2006/relationships/hyperlink" Target="https://profiplitka.ru/product/ceresit-cn-76-vysokoprochnaja-samovyravnivajuschajasja-tsementnaja-smes-ot-4-do-15-50-mm-25-kg/" TargetMode="External"/><Relationship Id="rId360" Type="http://schemas.openxmlformats.org/officeDocument/2006/relationships/hyperlink" Target="https://ts-krovizol.ru/catalog/product/samovyravnivayushchayasya-tsementnaya-smes-ceresit-cn-76-25-kg/?utm_source=stroyportal&amp;utm_medium=tag&amp;utm_campaign=moskva&amp;utm_term=1584431348722160720&amp;utm_content=24525&amp;strprtl=8fec4d06960f903a983c8359bb307ba9" TargetMode="External"/><Relationship Id="rId361" Type="http://schemas.openxmlformats.org/officeDocument/2006/relationships/hyperlink" Target="https://www.mirkrasok.ru/product/ceresit_cs_24_premium_universal_tserezit_germetik_silikonovyy_universalnyy/" TargetMode="External"/><Relationship Id="rId362" Type="http://schemas.openxmlformats.org/officeDocument/2006/relationships/hyperlink" Target="https://www.kraski-market.ru/catalog/germetiki_i_montazhnaya_pena/silikonovye_germetiki/" TargetMode="External"/><Relationship Id="rId363" Type="http://schemas.openxmlformats.org/officeDocument/2006/relationships/hyperlink" Target="https://www.kraski-market.ru/catalog/germetiki_i_montazhnaya_pena/silikonovye_germetiki/ceresit_cs_24_premium_universal_germetik_universalnyy_silikonovyy_prozrachnyy_280ml" TargetMode="External"/><Relationship Id="rId364" Type="http://schemas.openxmlformats.org/officeDocument/2006/relationships/hyperlink" Target="https://www.vseinstrumenti.ru/product/universalnyj-germetik-ceresit-cs-24-prozrachnyj-2005218-2392744/?ysclid=lrggpjlsko620944375" TargetMode="External"/><Relationship Id="rId365" Type="http://schemas.openxmlformats.org/officeDocument/2006/relationships/hyperlink" Target="https://ceresit-russia.ru/ceresit-ct29-fasovka-25-kg/" TargetMode="External"/><Relationship Id="rId366" Type="http://schemas.openxmlformats.org/officeDocument/2006/relationships/hyperlink" Target="https://rdstroy.ru/catalog/shpatlevki_tsementnye/ct_225_25_shpatlyevka_fasad_finish_belaya_48_sht_pod_ceresit/" TargetMode="External"/><Relationship Id="rId367" Type="http://schemas.openxmlformats.org/officeDocument/2006/relationships/hyperlink" Target="https://alea.shop/shpaklevka-cementnaya-belaya-ceresit-st-225-25-kg/" TargetMode="External"/><Relationship Id="rId368" Type="http://schemas.openxmlformats.org/officeDocument/2006/relationships/hyperlink" Target="https://rdstroy.ru/catalog/shtukaturki_tsementnye/ct_29_25_shtukat_i_remont_shpatlyevka_25_kg_48sht_pod_ceresit/" TargetMode="External"/><Relationship Id="rId369" Type="http://schemas.openxmlformats.org/officeDocument/2006/relationships/hyperlink" Target="https://ru-ceresit.com/ceresit-ct-29-2/" TargetMode="External"/><Relationship Id="rId370" Type="http://schemas.openxmlformats.org/officeDocument/2006/relationships/hyperlink" Target="https://rdstroy.ru/catalog/shtukaturki_tsementnye/ct_29_25_shtukat_i_remont_shpatlyevka_25_kg_48sht_pod_ceresit/" TargetMode="External"/><Relationship Id="rId371" Type="http://schemas.openxmlformats.org/officeDocument/2006/relationships/hyperlink" Target="https://ceresit-market.ru/catalog/klei-dlya-plitki/cm-14-extra-kley-d-plitki/" TargetMode="External"/><Relationship Id="rId372" Type="http://schemas.openxmlformats.org/officeDocument/2006/relationships/hyperlink" Target="https://www.mirkrasok.ru/product/ceresit_cm_14_extra_tserezit_kley_dlya_plitki_i_keramogranita/" TargetMode="External"/><Relationship Id="rId373" Type="http://schemas.openxmlformats.org/officeDocument/2006/relationships/hyperlink" Target="https://profiplitka.ru/product/ceresit-sm-14-extra-25-kg/" TargetMode="External"/><Relationship Id="rId374" Type="http://schemas.openxmlformats.org/officeDocument/2006/relationships/hyperlink" Target="https://stavropol.leroymerlin.ru/product/kley-dlya-plitki-i-keramogranita-cerezit-cm-14-extra-25-kg-82040394/?ysclid=lrghtm2zpp77919402&amp;fromRegion=34" TargetMode="External"/><Relationship Id="rId375" Type="http://schemas.openxmlformats.org/officeDocument/2006/relationships/hyperlink" Target="https://kraskivmoskve.ru/product/ceresit-ts-62tserezit-ts-62-universalnaya-montazhnaya-pena" TargetMode="External"/><Relationship Id="rId376" Type="http://schemas.openxmlformats.org/officeDocument/2006/relationships/hyperlink" Target="https://ceresitshop.ru/catalog/penyi-germetiki-klei/penyi/ceresit-ts-62" TargetMode="External"/><Relationship Id="rId377" Type="http://schemas.openxmlformats.org/officeDocument/2006/relationships/hyperlink" Target="https://www-fasad.ru/pena-montazhnaya-ceresit-ts-62-universalnaya-750-ml/" TargetMode="External"/><Relationship Id="rId378" Type="http://schemas.openxmlformats.org/officeDocument/2006/relationships/hyperlink" Target="https://moscow.petrovich.ru/product/102860/?ysclid=lnn6bm9c4n822490262" TargetMode="External"/><Relationship Id="rId379" Type="http://schemas.openxmlformats.org/officeDocument/2006/relationships/hyperlink" Target="https://www.termokit.ru/product/zatirka_ceresit_se_40_2_aquastatic_vodoottalkivayushchaya_belaya_01_2_kg.htm" TargetMode="External"/><Relationship Id="rId380" Type="http://schemas.openxmlformats.org/officeDocument/2006/relationships/hyperlink" Target="https://www.kraski.ru/catalog/ceresit_se_40_aquastatic_tserezit_tse_40_akvasatik_zatirka_dlya_shvov_do_10_mm_vodoottalkivayushchaya/?ysclid=lnn6bk9zgx457384661" TargetMode="External"/><Relationship Id="rId381" Type="http://schemas.openxmlformats.org/officeDocument/2006/relationships/hyperlink" Target="https://avtomaster66.ru/catalog/grunty_1/grunt_emal_mister_hammer_hardmax_korroed_ral_5015_goluboy_po_rzhavchine_1l_0_9kg_kvil_/" TargetMode="External"/><Relationship Id="rId382" Type="http://schemas.openxmlformats.org/officeDocument/2006/relationships/hyperlink" Target="https://www.chipdip.ru/product0/8008857921" TargetMode="External"/><Relationship Id="rId383" Type="http://schemas.openxmlformats.org/officeDocument/2006/relationships/hyperlink" Target="https://novorossiysk.vseinstrumenti.ru/product/grunt-emal-po-rzhavchine-hardmax-korroed-ral-5015-goluboj-banka-0-9-kg-1-sht-4690417077977-1853240/" TargetMode="External"/><Relationship Id="rId384" Type="http://schemas.openxmlformats.org/officeDocument/2006/relationships/hyperlink" Target="https://uni-fitt.shop/collection/baki-membannye/baki-rasshiritelnye-reflex/8210500.html?ysclid=lnn1xbpop1865454036" TargetMode="External"/><Relationship Id="rId385" Type="http://schemas.openxmlformats.org/officeDocument/2006/relationships/hyperlink" Target="https://teplo-com.ru/catalog/179460/" TargetMode="External"/><Relationship Id="rId386" Type="http://schemas.openxmlformats.org/officeDocument/2006/relationships/hyperlink" Target="https://www.teremonline.ru/catalog/inzhenernaya-santekhnika/membrannye-baki/3524_dlya-sistem-otopleniya/reflex-membrannyy-bak-s-100/?ysclid=lnn1x7fqoo281338246" TargetMode="External"/><Relationship Id="rId387" Type="http://schemas.openxmlformats.org/officeDocument/2006/relationships/hyperlink" Target="https://reflex.sale/katalog/membrannye-baki-dlia-sistem-otopleniia/s-50-250/bak-membrannij-reflex-s-100-10bar120c-serij-art-8210500" TargetMode="External"/><Relationship Id="rId388" Type="http://schemas.openxmlformats.org/officeDocument/2006/relationships/hyperlink" Target="https://zamkitut.ru/catalog/zamki/navesnye-zamki/chaz/navesnoy-zamok-chaz-vs2a/" TargetMode="External"/><Relationship Id="rId389" Type="http://schemas.openxmlformats.org/officeDocument/2006/relationships/hyperlink" Target="https://vertical.ru/product/navesnoy-zamok-chaz-vs2a/" TargetMode="External"/><Relationship Id="rId390" Type="http://schemas.openxmlformats.org/officeDocument/2006/relationships/hyperlink" Target="https://zamki34.ru/collection/zamki-navesnye-trosovye/product/zamok-navesnoy-chaz-vs2a-5665" TargetMode="External"/><Relationship Id="rId391" Type="http://schemas.openxmlformats.org/officeDocument/2006/relationships/hyperlink" Target="https://megamarket.ru/catalog/details/kraska-vgt-akrilovaya-vd-ak-1180-fasadnaya-superbelaya-vlagostoykaya-matovaya-bescvetnyy-13-kg-100051813645/?utm_source=yandex&amp;utm_medium=cpc&amp;utm_campaign=smm_search_dsa%3A4_stroitelstvo_i_remont_cb_%5Bregions%5D_%7C8" TargetMode="External"/><Relationship Id="rId392" Type="http://schemas.openxmlformats.org/officeDocument/2006/relationships/hyperlink" Target="https://nevinnomyssk.kupi.ru/product/180-kraska-fasadnaya-vdak-brigada-753362282/" TargetMode="External"/><Relationship Id="rId393" Type="http://schemas.openxmlformats.org/officeDocument/2006/relationships/hyperlink" Target="https://radugakraski.ru/katalog/kraski/dlya-mineralnyh-fasadov/vdak-1180z/?oid=19643" TargetMode="External"/><Relationship Id="rId394" Type="http://schemas.openxmlformats.org/officeDocument/2006/relationships/hyperlink" Target="https://oknabm.ru/catalog/accessories/steklopaket/odnokamernye-steklopakety/1k-steklopaket-4-16-4/" TargetMode="External"/><Relationship Id="rId395" Type="http://schemas.openxmlformats.org/officeDocument/2006/relationships/hyperlink" Target="https://www.relit.ru/price-replace-window.htm" TargetMode="External"/><Relationship Id="rId396" Type="http://schemas.openxmlformats.org/officeDocument/2006/relationships/hyperlink" Target="https://www.eurookna.ru/steklopakety/tsena-za-m2/" TargetMode="External"/><Relationship Id="rId397" Type="http://schemas.openxmlformats.org/officeDocument/2006/relationships/hyperlink" Target="https://new.optorg.ru/catalog/stroitelnye_i_otdelochnye_materialy/suhie_stroitelnye_smesi/shpatlevka/270086/" TargetMode="External"/><Relationship Id="rId398" Type="http://schemas.openxmlformats.org/officeDocument/2006/relationships/hyperlink" Target="https://nvs-stroy.ru/catalogue/11102/6440/?ysclid=lnn04m2n59102945093" TargetMode="External"/><Relationship Id="rId399" Type="http://schemas.openxmlformats.org/officeDocument/2006/relationships/hyperlink" Target="https://gorodmasterov23.ru/shop/stroitelnye-i-otdelochnye-materialy/suhie-smesi/shpatlevki/abs-saten-inter-shpatlevka-5-0-kg/?ysclid=lnn07ta0q9177616528" TargetMode="External"/><Relationship Id="rId400" Type="http://schemas.openxmlformats.org/officeDocument/2006/relationships/hyperlink" Target="https://new.optorg.ru/catalog/instrument_i_oborudovanie/elektrosvarochnoe_oborudovanie/elektrody/242388/" TargetMode="External"/><Relationship Id="rId401" Type="http://schemas.openxmlformats.org/officeDocument/2006/relationships/hyperlink" Target="https://www.svarcka.ru/svarochnye-materialy/elektrody-dlya-svarki/3-1-381-detail.html" TargetMode="External"/><Relationship Id="rId402" Type="http://schemas.openxmlformats.org/officeDocument/2006/relationships/hyperlink" Target="https://krasnodar.vseinstrumenti.ru/product/elektrody-svarochnye-ano-21-1-kg-3-mm-tigarbo-te-213010009-1933705/?ysclid=lnmzpk2gss399476481" TargetMode="External"/><Relationship Id="rId403" Type="http://schemas.openxmlformats.org/officeDocument/2006/relationships/drawing" Target="../drawings/drawing2.xml"/><Relationship Id="rId404" Type="http://schemas.openxmlformats.org/officeDocument/2006/relationships/vmlDrawing" Target="../drawings/vmlDrawing2.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hyperlink" Target="https://stavropol.leroymerlin.ru/product/germetik-abro-11-ab-ch-re-s-85-g-90715820/?ysclid=llnl6q54jw612658047&amp;fromRegion=34" TargetMode="External"/><Relationship Id="rId3" Type="http://schemas.openxmlformats.org/officeDocument/2006/relationships/hyperlink" Target="https://new.optorg.ru/catalog/avtomobilnye_tovary_shiny/avtohimiya/germetiki_avtomobilnye/155763/?ysclid=llnks5ytfg726576769" TargetMode="External"/><Relationship Id="rId4" Type="http://schemas.openxmlformats.org/officeDocument/2006/relationships/hyperlink" Target="https://avtoleon.com/catalog/avtoemali_i_raskhodnye_materialy/avtoemali/industrialnye_emali_ral/grunt_emal_3v1/ral_7040_grunt_emal_korroed_po_rzhavchine_okonnyy_seryy_0_9kg_mister_hardmax/" TargetMode="External"/><Relationship Id="rId5" Type="http://schemas.openxmlformats.org/officeDocument/2006/relationships/hyperlink" Target="https://stavropol.vseinstrumenti.ru/product/grunt-emal-po-rzhavchine-hardmax-korroed-ral-7035-svetlo-seryj-banka-1-9-kg-1-sht-4690417071609-1853418/?ysclid=llum50i6g0715464475" TargetMode="External"/><Relationship Id="rId6" Type="http://schemas.openxmlformats.org/officeDocument/2006/relationships/hyperlink" Target="https://avtoleon.com/catalog/avtoemali_i_raskhodnye_materialy/avtoemali/industrialnye_emali_ral/grunt_emal_3v1/ral_7040_grunt_emal_korroed_po_rzhavchine_okonnyy_seryy_0_9kg_mister_hardmax/" TargetMode="External"/><Relationship Id="rId7" Type="http://schemas.openxmlformats.org/officeDocument/2006/relationships/hyperlink" Target="https://stavropol.vseinstrumenti.ru/product/grunt-emal-po-rzhavchine-hardmax-korroed-ral-7035-svetlo-seryj-banka-1-9-kg-1-sht-4690417071609-1853418/?ysclid=llum50i6g0715464475" TargetMode="External"/><Relationship Id="rId8" Type="http://schemas.openxmlformats.org/officeDocument/2006/relationships/hyperlink" Target="https://avtomaster66.ru/catalog/grunty_1/grunt_emal_mister_hammer_hardmax_korroed_ral_5015_goluboy_po_rzhavchine_1l_0_9kg_kvil_/" TargetMode="External"/><Relationship Id="rId9" Type="http://schemas.openxmlformats.org/officeDocument/2006/relationships/hyperlink" Target="https://www.chipdip.ru/product0/8008857921" TargetMode="External"/><Relationship Id="rId10" Type="http://schemas.openxmlformats.org/officeDocument/2006/relationships/hyperlink" Target="https://novorossiysk.vseinstrumenti.ru/product/grunt-emal-po-rzhavchine-hardmax-korroed-ral-5015-goluboj-banka-0-9-kg-1-sht-4690417077977-1853240/" TargetMode="External"/><Relationship Id="rId11" Type="http://schemas.openxmlformats.org/officeDocument/2006/relationships/hyperlink" Target="https://mstroy.ru/catalog/lakokrasochnye_materialy/emali/emali_po_rzhavchine_kvil/grunt_emal_gladkaya/grunt_emal_gladkaya_korroed_po_rzhavchine_ral5005_siniy_1_9kg/?ysclid=lr95vr8m1h18883673" TargetMode="External"/><Relationship Id="rId12" Type="http://schemas.openxmlformats.org/officeDocument/2006/relationships/hyperlink" Target="https://ptcpro.ru/catalog/grunt_emal_po_rzhavchine/9278/?ysclid=lr95vcrrtb830438952" TargetMode="External"/><Relationship Id="rId13" Type="http://schemas.openxmlformats.org/officeDocument/2006/relationships/hyperlink" Target="https://tulasnab.ru/grunt-emal-korroed-mister-hardmax-ral-5005-sinij-po-rgavchine-19kg-kvil" TargetMode="External"/><Relationship Id="rId14" Type="http://schemas.openxmlformats.org/officeDocument/2006/relationships/hyperlink" Target="https://www.chipdip.ru/product0/8018241708?ysclid=lnnc3szz4c293021830" TargetMode="External"/><Relationship Id="rId15" Type="http://schemas.openxmlformats.org/officeDocument/2006/relationships/hyperlink" Target="https://avtomaster66.ru/catalog/grunty_1/grunt_emal_mister_hammer_hardmax_korroed_ral_3011_krasno_korichnevaya_po_rzhavchine_1l_0_9kg_kvil/?ysclid=lnnc6qp3ku546632107" TargetMode="External"/><Relationship Id="rId16" Type="http://schemas.openxmlformats.org/officeDocument/2006/relationships/hyperlink" Target="https://novorossiysk.vseinstrumenti.ru/product/grunt-emal-po-rzhavchine-hardmax-korroed-ral-3011-krasno-korichnevyj-banka-0-9-kg-1-sht-4690417071241-1853225/" TargetMode="External"/><Relationship Id="rId17" Type="http://schemas.openxmlformats.org/officeDocument/2006/relationships/hyperlink" Target="https://ptcpro.ru/catalog/grunt_emal_po_rzhavchine/9277/?ysclid=lr974d4cvw826429706" TargetMode="External"/><Relationship Id="rId18" Type="http://schemas.openxmlformats.org/officeDocument/2006/relationships/hyperlink" Target="https://www.vseinstrumenti.ru/product/grunt-emal-po-rzhavchine-hardmax-korroed-ral-3011-krasno-korichnevyj-banka-1-9-kg-1-sht-4690417071258-1853226/?ysclid=lr970b2cvx643770471" TargetMode="External"/><Relationship Id="rId19" Type="http://schemas.openxmlformats.org/officeDocument/2006/relationships/hyperlink" Target="https://www.chipdip.ru/product0/8018241705" TargetMode="External"/><Relationship Id="rId20" Type="http://schemas.openxmlformats.org/officeDocument/2006/relationships/hyperlink" Target="https://www.kirelis.ru/catalog/kolca/vtylki-myvp/id_30848/" TargetMode="External"/><Relationship Id="rId21" Type="http://schemas.openxmlformats.org/officeDocument/2006/relationships/hyperlink" Target="https://antisplash.ru/koltso-uprugoe-muvp-k3-35kh18kh9kh4-5" TargetMode="External"/><Relationship Id="rId22" Type="http://schemas.openxmlformats.org/officeDocument/2006/relationships/hyperlink" Target="https://rezina74.ru/catalog/uplotnitelnyye-koltsa/koltsa-i-vtulki-muvp/103553/?ysclid=lr98kh57eb461942727" TargetMode="External"/><Relationship Id="rId23" Type="http://schemas.openxmlformats.org/officeDocument/2006/relationships/hyperlink" Target="https://antisplash.ru/koltso-uprugoe-muvp-k3-35kh18kh9kh4-5?yclid=4043379713605631999" TargetMode="External"/><Relationship Id="rId24" Type="http://schemas.openxmlformats.org/officeDocument/2006/relationships/hyperlink" Target="https://www.kirelis.ru/catalog/kolca/vtylki-myvp/id_30848/?ysclid=lr98k0o2hp926239490" TargetMode="External"/><Relationship Id="rId25" Type="http://schemas.openxmlformats.org/officeDocument/2006/relationships/hyperlink" Target="https://www.techmarcet.ru/krany-sharovye/latunnye/kran-sharovyy-11b27p-RUS/" TargetMode="External"/><Relationship Id="rId26" Type="http://schemas.openxmlformats.org/officeDocument/2006/relationships/hyperlink" Target="https://tehprommarket.com/product/&#1082;&#1088;&#1072;&#1085;-11&#1073;-27&#1087;-&#1076;&#1091;-15-&#1075;&#1072;&#1079;/" TargetMode="External"/><Relationship Id="rId27" Type="http://schemas.openxmlformats.org/officeDocument/2006/relationships/hyperlink" Target="https://gremir.ru/krany-sharovye/latunnye/11b27p1-muftovye/11b27p1-du-15/" TargetMode="External"/><Relationship Id="rId28" Type="http://schemas.openxmlformats.org/officeDocument/2006/relationships/hyperlink" Target="https://teharmatura.ru/catalog/truboprovodnaya-armatura/krany/krany_latunnye/31473/" TargetMode="External"/><Relationship Id="rId29" Type="http://schemas.openxmlformats.org/officeDocument/2006/relationships/hyperlink" Target="https://tehtepla.ru/catalog/krany/latunnye_krany/11620/" TargetMode="External"/><Relationship Id="rId30" Type="http://schemas.openxmlformats.org/officeDocument/2006/relationships/hyperlink" Target="https://www.techmarcet.ru/krany-sharovye/latunnye/kran-sharovyy-11b27p-RUS/" TargetMode="External"/><Relationship Id="rId31" Type="http://schemas.openxmlformats.org/officeDocument/2006/relationships/hyperlink" Target="https://tula.elfgroup.ru/catalog/zapornaya-i-reguliruyushchaya-armutura/krany/krany-sharovye-latunnye/krany-analog-11b27p/kran-sharovoy-11b27p1-g-g-rychag-du25/" TargetMode="External"/><Relationship Id="rId32" Type="http://schemas.openxmlformats.org/officeDocument/2006/relationships/hyperlink" Target="https://dominant-perm.ru/katalog/krany/kran-sharovyj-muftovyj-11b27p1-nr-vr-du20-ru16" TargetMode="External"/><Relationship Id="rId33" Type="http://schemas.openxmlformats.org/officeDocument/2006/relationships/hyperlink" Target="https://stavropol.dn.ru/sharovyi-kran/teplosnabzhenie/rezbovye-kran/standartnyi/aquasfera/1019/dn15" TargetMode="External"/><Relationship Id="rId34" Type="http://schemas.openxmlformats.org/officeDocument/2006/relationships/hyperlink" Target="https://www.santech.ru/spb/catalog/317/329/i15230/v57475/" TargetMode="External"/><Relationship Id="rId35" Type="http://schemas.openxmlformats.org/officeDocument/2006/relationships/hyperlink" Target="https://teplosnab24.ru/truboprovodnaya-armatura/krany-sharovye/latunnye-sharovye-krany/kran-sharovoj-aquasfera-vodorazbornyj-latun-1019-du15-ru16-r-shtucz-rych-1019-01/?yandex_visit=1668415308865616927" TargetMode="External"/><Relationship Id="rId36" Type="http://schemas.openxmlformats.org/officeDocument/2006/relationships/hyperlink" Target="https://mosopttorg.com/kran-sharovoy-vodorazbornyy-latun-so-shtucerom-1019-du-20-ru16-nr-g3-4-rychag-aquasfera-1019-02/" TargetMode="External"/><Relationship Id="rId37" Type="http://schemas.openxmlformats.org/officeDocument/2006/relationships/hyperlink" Target="https://gremir.ru/krany-sharovye/latunnye/krany-aquasfera/krany-aquasfera-1019/rychag-20-3-4/" TargetMode="External"/><Relationship Id="rId38" Type="http://schemas.openxmlformats.org/officeDocument/2006/relationships/hyperlink" Target="https://pkf-m.ru/kranyi-latunnyie-vodorazbornyie/304826/" TargetMode="External"/><Relationship Id="rId39" Type="http://schemas.openxmlformats.org/officeDocument/2006/relationships/hyperlink" Target="https://www.ozon.ru/product/kran-sharovoy-vodorazbornyy-du20-nr-rychag-aquasfera-1020621948/?utm_medium=organic&amp;utm_source=yandex_serp_products" TargetMode="External"/><Relationship Id="rId40" Type="http://schemas.openxmlformats.org/officeDocument/2006/relationships/hyperlink" Target="https://www.metiz-dvor.ru/catalog/krug-lepestkovyi-tortsevoi-125kh22-r40-detail?ysclid=lozgr9n54p348715598" TargetMode="External"/><Relationship Id="rId41" Type="http://schemas.openxmlformats.org/officeDocument/2006/relationships/hyperlink" Target="https://opttools.ru/catalog/elektroinstrument/prinadlezhnosti-k-elektroinstrumentam/lepestkovye-shlifovalnye-krugi/krug-lepestkovyy-tortsevoy-konicheskiy-r-40-125-kh-22-2-mm-sibrtekh-74083/?ysclid=lozgne801e667653234" TargetMode="External"/><Relationship Id="rId42" Type="http://schemas.openxmlformats.org/officeDocument/2006/relationships/hyperlink" Target="https://stavropol.220-volt.ru/catalog-348307/" TargetMode="External"/><Relationship Id="rId43" Type="http://schemas.openxmlformats.org/officeDocument/2006/relationships/hyperlink" Target="https://snabinstrument.ru/catalog/abrazivnyy_instrument/izdeliya_iz_shlifshkurki/krugi_shlifovalnye/krugi_lepestkovye_tortsevye/krug_lepestkovyy_tortsevoy_klt2_125kh22_40n_r40_kk10khw_tu_3980_006_00223332_2006_baz/?ysclid=lra8ac92of558038666" TargetMode="External"/><Relationship Id="rId44" Type="http://schemas.openxmlformats.org/officeDocument/2006/relationships/hyperlink" Target="https://svarog-tk.ru/goods/abrasives/29/3321/?product=3321" TargetMode="External"/><Relationship Id="rId45" Type="http://schemas.openxmlformats.org/officeDocument/2006/relationships/hyperlink" Target="https://www.vseinstrumenti.ru/product/krug-lepestkovyj-tortsevoj-125x22-2-mm-p40-gigant-grf-40-1492522/?ysclid=lra88n68wk527561771" TargetMode="External"/><Relationship Id="rId46" Type="http://schemas.openxmlformats.org/officeDocument/2006/relationships/hyperlink" Target="https://ru.lukoil-shop.com/catalog/legkovye_avtomobili/motornye_masla/maslo_motornoe_lukoyl_super_15w_40_sg_cd/?ysclid=lozhj2wyln789992910" TargetMode="External"/><Relationship Id="rId47" Type="http://schemas.openxmlformats.org/officeDocument/2006/relationships/hyperlink" Target="https://www.vseinstrumenti.ru/product/motornoe-maslo-lukojl-avangard-sae-15w-40-api-cf-4-sg-5-l-19309-4825129/" TargetMode="External"/><Relationship Id="rId48" Type="http://schemas.openxmlformats.org/officeDocument/2006/relationships/hyperlink" Target="https://baza.drom.ru/vladivostok/chemistry/motoroil/lukojl-avangard-ultra-m3-sae-15w40-api-ci-4-sl-105001880.html" TargetMode="External"/><Relationship Id="rId49" Type="http://schemas.openxmlformats.org/officeDocument/2006/relationships/hyperlink" Target="https://megamarket.ru/catalog/details/maslo-motornoe-lukoil-19195-100001150034/?ysclid=lra95z7lkr929975457" TargetMode="External"/><Relationship Id="rId50" Type="http://schemas.openxmlformats.org/officeDocument/2006/relationships/hyperlink" Target="https://www.vseinstrumenti.ru/product/motornoe-maslo-lukojl-super-sae-15w-40-api-sg-cd-4-l-19195-3059288/?ysclid=lra8x7rpr92387993" TargetMode="External"/><Relationship Id="rId51" Type="http://schemas.openxmlformats.org/officeDocument/2006/relationships/hyperlink" Target="https://ru.lukoil-shop.com/catalog/legkovye_avtomobili/motornye_masla/maslo_motornoe_lukoyl_super_15w_40_sg_cd/?ysclid=lra8x2yo4t690392950" TargetMode="External"/><Relationship Id="rId52" Type="http://schemas.openxmlformats.org/officeDocument/2006/relationships/hyperlink" Target="https://shsl.ru/smesitel-dlya-vanny-s-dushem-psm-profsan-psm-150-k80-standart-b-tip-sm-vudrnshlr/?ysclid=loznv22ugh312817747" TargetMode="External"/><Relationship Id="rId53" Type="http://schemas.openxmlformats.org/officeDocument/2006/relationships/hyperlink" Target="https://yaropt24.ru/product/smesitel-dlya-vanny-sm-vudrnshla-ks-63007263-rossiya-kazan-gost-25809-96/" TargetMode="External"/><Relationship Id="rId54" Type="http://schemas.openxmlformats.org/officeDocument/2006/relationships/hyperlink" Target="https://www.vseinstrumenti.ru/product/smesitel-dlya-vanny-s-dushem-profsan-psm-tip-sm-vudrnshlr-psm-150-89-1651200/?ysclid=loznto0gsg531057395" TargetMode="External"/><Relationship Id="rId55" Type="http://schemas.openxmlformats.org/officeDocument/2006/relationships/hyperlink" Target="https://snabsan.ru/Smesitel_dlya_vanny_s_dushem_PSM-PROFSAN_PSM-150-K89_STANDART-B_tip_Sm-VUDRNShlr/?ysclid=lrabpxo517806531528" TargetMode="External"/><Relationship Id="rId56" Type="http://schemas.openxmlformats.org/officeDocument/2006/relationships/hyperlink" Target="https://shsl.ru/smesitel-dlya-vanny-s-dushem-psm-profsan-psm-150-k80-standart-b-tip-sm-vudrnshlr/?ysclid=lrabm7iupc681723541" TargetMode="External"/><Relationship Id="rId57" Type="http://schemas.openxmlformats.org/officeDocument/2006/relationships/hyperlink" Target="https://www.vseinstrumenti.ru/product/smesitel-dlya-vanny-s-dushem-profsan-psm-tip-sm-vudrnshlr-psm-150-89-1651200/?ysclid=lrabew9rrs543056329" TargetMode="External"/><Relationship Id="rId58" Type="http://schemas.openxmlformats.org/officeDocument/2006/relationships/hyperlink" Target="https://www.vseinstrumenti.ru/product/smesitel-dlya-rakoviny-profsan-psm-tip-gost-sm-umotsba-psm-759-044-2191972/?ysclid=lrad3eadg2536433745" TargetMode="External"/><Relationship Id="rId59" Type="http://schemas.openxmlformats.org/officeDocument/2006/relationships/hyperlink" Target="https://shsl.ru/smesitel-dlya-rakoviny-psm-profsan-psm-740-008-plyus-tip-sm-umotsba/?ysclid=lrad4pfspa191109063" TargetMode="External"/><Relationship Id="rId60" Type="http://schemas.openxmlformats.org/officeDocument/2006/relationships/hyperlink" Target="https://market.yandex.ru/product--profsan-psm-smesitel-dlia-rakoviny-seriia-komplektatsiia-tip-gost-sm-umotsba-psm-104-5/1446274854?sku=101457051894&amp;do-waremd5=MN4R_cxAyC16qpqPK8PM2A&amp;uniqueId=923915" TargetMode="External"/><Relationship Id="rId61" Type="http://schemas.openxmlformats.org/officeDocument/2006/relationships/hyperlink" Target="https://www.vseinstrumenti.ru/product/smesitel-dlya-rakoviny-profsan-psm-tip-gost-sm-umotsba-psm-759-044-2191972/?ysclid=lrad3eadg2536433745" TargetMode="External"/><Relationship Id="rId62" Type="http://schemas.openxmlformats.org/officeDocument/2006/relationships/hyperlink" Target="https://opensea.ru/compressor-a25067.htm?ysclid=lozru3t0d0163429978" TargetMode="External"/><Relationship Id="rId63" Type="http://schemas.openxmlformats.org/officeDocument/2006/relationships/hyperlink" Target="https://stardive.ru/shop/detailed_layout/id/1094" TargetMode="External"/><Relationship Id="rId64" Type="http://schemas.openxmlformats.org/officeDocument/2006/relationships/hyperlink" Target="https://shop-compressor.ru/shop/detailed_layout/id/2088" TargetMode="External"/><Relationship Id="rId65" Type="http://schemas.openxmlformats.org/officeDocument/2006/relationships/hyperlink" Target="https://shop-compressor.ru/shop/detailed_layout/id/2088" TargetMode="External"/><Relationship Id="rId66" Type="http://schemas.openxmlformats.org/officeDocument/2006/relationships/hyperlink" Target="https://opensea.ru/compressor-a25067.htm?ysclid=lozru3t0d0163429978" TargetMode="External"/><Relationship Id="rId67" Type="http://schemas.openxmlformats.org/officeDocument/2006/relationships/hyperlink" Target="https://stardive.ru/shop/detailed_layout/id/1094" TargetMode="External"/><Relationship Id="rId68" Type="http://schemas.openxmlformats.org/officeDocument/2006/relationships/hyperlink" Target="https://scuba-shop.ru/shop/tov/2000/kartridzh-fil-tra-bauer-p41-co-067224.html" TargetMode="External"/><Relationship Id="rId69" Type="http://schemas.openxmlformats.org/officeDocument/2006/relationships/hyperlink" Target="https://shop-compressor.ru/shop/detailed_layout/id/2087" TargetMode="External"/><Relationship Id="rId70" Type="http://schemas.openxmlformats.org/officeDocument/2006/relationships/hyperlink" Target="https://stardive.ru/shop/detailed_layout/id/1093" TargetMode="External"/><Relationship Id="rId71" Type="http://schemas.openxmlformats.org/officeDocument/2006/relationships/hyperlink" Target="https://scuba-shop.ru/shop/tov/2000/kartridzh-fil-tra-bauer-p41-co-067224.html" TargetMode="External"/><Relationship Id="rId72" Type="http://schemas.openxmlformats.org/officeDocument/2006/relationships/hyperlink" Target="https://shop-compressor.ru/shop/detailed_layout/id/2087" TargetMode="External"/><Relationship Id="rId73" Type="http://schemas.openxmlformats.org/officeDocument/2006/relationships/hyperlink" Target="https://stardive.ru/shop/detailed_layout/id/1093" TargetMode="External"/><Relationship Id="rId74" Type="http://schemas.openxmlformats.org/officeDocument/2006/relationships/hyperlink" Target="https://www.kirelis.ru/catalog/podshipniki/sharikovie-radialnie-otkrytie/id_51853/" TargetMode="External"/><Relationship Id="rId75" Type="http://schemas.openxmlformats.org/officeDocument/2006/relationships/hyperlink" Target="https://autopiter.ru/cart" TargetMode="External"/><Relationship Id="rId76" Type="http://schemas.openxmlformats.org/officeDocument/2006/relationships/hyperlink" Target="https://podshipnik-td.ru/catalog/bearrings/sharikovye/ballsinglerow/podshipnik-6308-308-skf/" TargetMode="External"/><Relationship Id="rId77" Type="http://schemas.openxmlformats.org/officeDocument/2006/relationships/hyperlink" Target="https://podshipnik-td.ru/catalog/bearrings/sharikovye/ballsinglerow/podshipnik-6308-308-skf/?ysclid=lryxqgmm3s806604113" TargetMode="External"/><Relationship Id="rId78" Type="http://schemas.openxmlformats.org/officeDocument/2006/relationships/hyperlink" Target="https://www.kraska-ekb.ru/goods/81268106-grunt_emal_antikorroziynaya_dv_106" TargetMode="External"/><Relationship Id="rId79" Type="http://schemas.openxmlformats.org/officeDocument/2006/relationships/hyperlink" Target="https://bizorg.su/grunt-emal-r/p27961380-gruntemal-po-rzhavchine-dv106-tsveto" TargetMode="External"/><Relationship Id="rId80" Type="http://schemas.openxmlformats.org/officeDocument/2006/relationships/hyperlink" Target="https://krasnodar.pulscen.ru/products/grunt_emal_antikorroziynaya_dv_106_81268106" TargetMode="External"/><Relationship Id="rId81" Type="http://schemas.openxmlformats.org/officeDocument/2006/relationships/hyperlink" Target="https://bizorg.su/grunt-emal-r/p27961380-gruntemal-po-rzhavchine-dv106-tsveto" TargetMode="External"/><Relationship Id="rId82" Type="http://schemas.openxmlformats.org/officeDocument/2006/relationships/hyperlink" Target="https://www.kraska-ekb.ru/goods/81268106-grunt_emal_antikorroziynaya_dv_106" TargetMode="External"/><Relationship Id="rId83" Type="http://schemas.openxmlformats.org/officeDocument/2006/relationships/hyperlink" Target="https://krasnodar.pulscen.ru/products/grunt_emal_antikorroziynaya_dv_106_81268106" TargetMode="External"/><Relationship Id="rId84" Type="http://schemas.openxmlformats.org/officeDocument/2006/relationships/hyperlink" Target="https://www.kraska-ekb.ru/goods/81268106-grunt_emal_antikorroziynaya_dv_106" TargetMode="External"/><Relationship Id="rId85" Type="http://schemas.openxmlformats.org/officeDocument/2006/relationships/hyperlink" Target="https://bizorg.su/grunt-emal-r/p27961380-gruntemal-po-rzhavchine-dv106-tsveto" TargetMode="External"/><Relationship Id="rId86" Type="http://schemas.openxmlformats.org/officeDocument/2006/relationships/hyperlink" Target="https://krasnodar.pulscen.ru/products/grunt_emal_antikorroziynaya_dv_106_81268106" TargetMode="External"/><Relationship Id="rId87" Type="http://schemas.openxmlformats.org/officeDocument/2006/relationships/hyperlink" Target="https://bizorg.su/grunt-emal-r/p27961380-gruntemal-po-rzhavchine-dv106-tsveto" TargetMode="External"/><Relationship Id="rId88" Type="http://schemas.openxmlformats.org/officeDocument/2006/relationships/hyperlink" Target="https://www.kraska-ekb.ru/goods/81268106-grunt_emal_antikorroziynaya_dv_106" TargetMode="External"/><Relationship Id="rId89" Type="http://schemas.openxmlformats.org/officeDocument/2006/relationships/hyperlink" Target="https://krasnodar.pulscen.ru/products/grunt_emal_antikorroziynaya_dv_106_81268106" TargetMode="External"/><Relationship Id="rId90" Type="http://schemas.openxmlformats.org/officeDocument/2006/relationships/hyperlink" Target="https://asakashi.ru/parts/info/SAKURA/EF51040" TargetMode="External"/><Relationship Id="rId91" Type="http://schemas.openxmlformats.org/officeDocument/2006/relationships/hyperlink" Target="https://4mycar.ru/parts/Sakura/EF51040" TargetMode="External"/><Relationship Id="rId92" Type="http://schemas.openxmlformats.org/officeDocument/2006/relationships/hyperlink" Target="https://exist.ru/Price/?pid=8C409A44&amp;sr=119" TargetMode="External"/><Relationship Id="rId93" Type="http://schemas.openxmlformats.org/officeDocument/2006/relationships/hyperlink" Target="https://stalfilters.ru/filtr-toplivnyy-st20908-150-1r0793-26560163-ef51040-1r1803/?ysclid=lrak10zrwq777187621" TargetMode="External"/><Relationship Id="rId94" Type="http://schemas.openxmlformats.org/officeDocument/2006/relationships/hyperlink" Target="https://stal.market/filtr-toplivnyy-st20908-150-1r0793-26560163-ef51040-1r1803/?ysclid=lrajwv9zs3971250078" TargetMode="External"/><Relationship Id="rId95" Type="http://schemas.openxmlformats.org/officeDocument/2006/relationships/hyperlink" Target="https://mts124.ru/product/filtr-toplivnyy-st20908-1-50-1r0793-26560163-ef51040-1r1803-58172/" TargetMode="External"/><Relationship Id="rId96" Type="http://schemas.openxmlformats.org/officeDocument/2006/relationships/hyperlink" Target="https://autopiter.ru/goods/ff167a/fleetguard/id21462321" TargetMode="External"/><Relationship Id="rId97" Type="http://schemas.openxmlformats.org/officeDocument/2006/relationships/hyperlink" Target="https://maslomarket.com/catalog/filters/the-fuel-filters/filtr-toplivnyy-fleetguard-ff167a/" TargetMode="External"/><Relationship Id="rId98" Type="http://schemas.openxmlformats.org/officeDocument/2006/relationships/hyperlink" Target="https://exist.ru/Price/?pid=27D005B4" TargetMode="External"/><Relationship Id="rId99" Type="http://schemas.openxmlformats.org/officeDocument/2006/relationships/hyperlink" Target="https://promintel.com/products/ff167a-filtr-kartridzh-toplivnyy-fleetguard?ysclid=lrakl1m7ml123791948" TargetMode="External"/><Relationship Id="rId100" Type="http://schemas.openxmlformats.org/officeDocument/2006/relationships/hyperlink" Target="https://euroauto.ru/firms/fleetguard/ff167a/?ysclid=lrakia4gtm380241399" TargetMode="External"/><Relationship Id="rId101" Type="http://schemas.openxmlformats.org/officeDocument/2006/relationships/hyperlink" Target="https://maslomarket.com/catalog/filters/the-fuel-filters/filtr-toplivnyy-fleetguard-ff167a/?ysclid=lrakdq5vt6532307090" TargetMode="External"/><Relationship Id="rId102" Type="http://schemas.openxmlformats.org/officeDocument/2006/relationships/hyperlink" Target="https://ugk174.ru/catalog/filtry/filtr_toplivnyj_goodwill_fg1050eco_605013_ef_5102_26560201_sk3380/" TargetMode="External"/><Relationship Id="rId103" Type="http://schemas.openxmlformats.org/officeDocument/2006/relationships/hyperlink" Target="https://gik43.ru/filtr-toplivnyy-goodwill-fg1050eco-605013-ef-5102-26560201-sk3380" TargetMode="External"/><Relationship Id="rId104" Type="http://schemas.openxmlformats.org/officeDocument/2006/relationships/hyperlink" Target="https://baza.drom.ru/krasnoyarsk/sell_spare_parts/filtr-toplivnyj-fg1050eco-fg1050eco-g13022100678.html" TargetMode="External"/><Relationship Id="rId105" Type="http://schemas.openxmlformats.org/officeDocument/2006/relationships/hyperlink" Target="https://impart.online/catalog/fg1050eco-filtr-toplivnyy-goodwill-1qqxv1d/?ysclid=lral5t13gt289495644" TargetMode="External"/><Relationship Id="rId106" Type="http://schemas.openxmlformats.org/officeDocument/2006/relationships/hyperlink" Target="https://gik43.ru/filtr-toplivnyy-goodwill-fg1050eco-605013-ef-5102-26560201-sk3380" TargetMode="External"/><Relationship Id="rId107" Type="http://schemas.openxmlformats.org/officeDocument/2006/relationships/hyperlink" Target="https://ugk174.ru/catalog/filtry/filtr_toplivnyj_goodwill_fg1050eco_605013_ef_5102_26560201_sk3380/?ysclid=lrakro7vk4945263656" TargetMode="External"/><Relationship Id="rId108" Type="http://schemas.openxmlformats.org/officeDocument/2006/relationships/hyperlink" Target="https://hyperauto.ru/product/antifriz-sintec-antifreeze-luxe-oat-g12-krasnyy-40-c-1kg-art-990550-301021405/" TargetMode="External"/><Relationship Id="rId109" Type="http://schemas.openxmlformats.org/officeDocument/2006/relationships/hyperlink" Target="https://maslomart.com/catalog/antifriz_sintec_luxe_g_12_40_krasnyy_1kg/" TargetMode="External"/><Relationship Id="rId110" Type="http://schemas.openxmlformats.org/officeDocument/2006/relationships/hyperlink" Target="https://www.autodoc.ru/man/7303/part/990550" TargetMode="External"/><Relationship Id="rId111" Type="http://schemas.openxmlformats.org/officeDocument/2006/relationships/hyperlink" Target="https://megamarket.ru/catalog/details/antifriz-sintec-krasno-oranzhevyy-gotovyy-antifriz-10kg-756665-100022894461/?ysclid=lramk3bn9y757071591" TargetMode="External"/><Relationship Id="rId112" Type="http://schemas.openxmlformats.org/officeDocument/2006/relationships/hyperlink" Target="https://www.wildberries.ru/catalog/102878995/detail.aspx" TargetMode="External"/><Relationship Id="rId113" Type="http://schemas.openxmlformats.org/officeDocument/2006/relationships/hyperlink" Target="https://optorg.ru/catalog/avtomobilnye_tovary_shiny/avtohimiya/antifrizy_tosoly/161247/" TargetMode="External"/><Relationship Id="rId114" Type="http://schemas.openxmlformats.org/officeDocument/2006/relationships/hyperlink" Target="https://www.vseinstrumenti.ru/product/maslo-compressor-s-synth-100-1-l-gazpromneft-253721871-1175782/otzyvy/" TargetMode="External"/><Relationship Id="rId115" Type="http://schemas.openxmlformats.org/officeDocument/2006/relationships/hyperlink" Target="https://amertend.ru/gazpromneft-compressor-s-synth-100" TargetMode="External"/><Relationship Id="rId116" Type="http://schemas.openxmlformats.org/officeDocument/2006/relationships/hyperlink" Target="https://piteroils.ru/catalog/industrialnye_smazochnye_materialy/kompressornye/gazprom_neft_8/26841/" TargetMode="External"/><Relationship Id="rId117" Type="http://schemas.openxmlformats.org/officeDocument/2006/relationships/hyperlink" Target="https://megamarket.ru/catalog/details/maslo-kompressornoe-gazpromneft-compressor-s-synth-100-1l-253721871-600005570435/?ysclid=lrey40ntaq13979534" TargetMode="External"/><Relationship Id="rId118" Type="http://schemas.openxmlformats.org/officeDocument/2006/relationships/hyperlink" Target="https://www.vseinstrumenti.ru/product/maslo-compressor-s-synth-100-1-l-gazpromneft-253721871-1175782/?ysclid=lrey3ssap859720018" TargetMode="External"/><Relationship Id="rId119" Type="http://schemas.openxmlformats.org/officeDocument/2006/relationships/hyperlink" Target="https://leroymerlin.ru/product/maslo-dlya-kompressora-gazpromneft-compres-s-synth-100-1-l-82680707/?ysclid=lrey1wlua4125993148&amp;utm_referrer=https%3A%2F%2Fya.ru%2F" TargetMode="External"/><Relationship Id="rId120" Type="http://schemas.openxmlformats.org/officeDocument/2006/relationships/hyperlink" Target="https://www.autoopt.ru/catalog/733654-maslo_kompressornoe_compressor_s_synth_150_205l180kg_gazpromneft" TargetMode="External"/><Relationship Id="rId121" Type="http://schemas.openxmlformats.org/officeDocument/2006/relationships/hyperlink" Target="https://amertend.ru/gazpromneft-compressor-s-synth-150" TargetMode="External"/><Relationship Id="rId122" Type="http://schemas.openxmlformats.org/officeDocument/2006/relationships/hyperlink" Target="https://vils.ru/catalog/kompressornye_masla/gazpromneft_compressor_s_synth_150/?offer=41867" TargetMode="External"/><Relationship Id="rId123" Type="http://schemas.openxmlformats.org/officeDocument/2006/relationships/hyperlink" Target="https://oil-store.ru/masla-i-smazki/industrialnye-masla/kompressornye-masla/kompressornoe-maslo-gazpromneft-compressor-s-synth-150-205l/" TargetMode="External"/><Relationship Id="rId124" Type="http://schemas.openxmlformats.org/officeDocument/2006/relationships/hyperlink" Target="https://market.yandex.ru/product--kompressornoe-maslo-gazpromneft-compressor-s-synth-150-205-l/1928907666?sku=101918768244&amp;do-waremd5=dT5LuY8jISq6tDkeg-YAvQ&amp;uniqueId=14123210" TargetMode="External"/><Relationship Id="rId125" Type="http://schemas.openxmlformats.org/officeDocument/2006/relationships/hyperlink" Target="https://www.autoopt.ru/catalog/733654-maslo_kompressornoe_compressor_s_synth_150_205l180kg_gazpromneft?ysclid=lreykdnxqu664170247" TargetMode="External"/><Relationship Id="rId126" Type="http://schemas.openxmlformats.org/officeDocument/2006/relationships/hyperlink" Target="https://ru.lukoil-shop.com/catalog/kommercheskiy_transport/motornye_masla/maslo_motornoe_lukoyl_avangard_mineralnoe_15w_40_api_cf_4_sg/" TargetMode="External"/><Relationship Id="rId127" Type="http://schemas.openxmlformats.org/officeDocument/2006/relationships/hyperlink" Target="https://baza.drom.ru/ekaterinburg/chemistry/motoroil/maslo-motornoe-lukoil-avangard-extra-15w-40-cg-4-e5-mineralnoe-5-l-dlja-kommerch-tehniki-lukoil-1552367-g12763204629.html" TargetMode="External"/><Relationship Id="rId128" Type="http://schemas.openxmlformats.org/officeDocument/2006/relationships/hyperlink" Target="https://www.arsenal-msk.ru/catalog/dlya-kommercheskogo-transporta/lukoyl-avangard-15w-40/" TargetMode="External"/><Relationship Id="rId129" Type="http://schemas.openxmlformats.org/officeDocument/2006/relationships/hyperlink" Target="https://maslenych.ru/shop/avtomasla/motornye_masla/40044/" TargetMode="External"/><Relationship Id="rId130" Type="http://schemas.openxmlformats.org/officeDocument/2006/relationships/hyperlink" Target="https://ru.lukoil-shop.com/catalog/kommercheskiy_transport/motornye_masla/maslo_motornoe_lukoyl_avangard_mineralnoe_15w_40_api_cf_4_sg/?ysclid=lrezh29s5i793370538" TargetMode="External"/><Relationship Id="rId131" Type="http://schemas.openxmlformats.org/officeDocument/2006/relationships/hyperlink" Target="https://piteroils.ru/catalog/gruzovye_masla/otechestvennye_1/lukoyl_1/polusinteticheskie_18/13191/" TargetMode="External"/><Relationship Id="rId132" Type="http://schemas.openxmlformats.org/officeDocument/2006/relationships/hyperlink" Target="https://www.vsemasla.com/lukojl-avangard-ul-tra-10w-40-ci-4-sl/" TargetMode="External"/><Relationship Id="rId133" Type="http://schemas.openxmlformats.org/officeDocument/2006/relationships/hyperlink" Target="https://hyperauto.ru/product/maslo-motornoe-lukoyl-avantgarde-ultra-10w40-polusinteticheskoe-api-sl-ci-4-acea-e7-jaso-dh-1-dlya-dizelnogo-dvigatelya-5l-art-19518-000017864/" TargetMode="External"/><Relationship Id="rId134" Type="http://schemas.openxmlformats.org/officeDocument/2006/relationships/hyperlink" Target="https://oil-store.ru/masla-i-smazki/motornye-masla/gruzovoj-transport/motornoe-maslo-lukojl-avangard-ultra-10w-40-50l/" TargetMode="External"/><Relationship Id="rId135" Type="http://schemas.openxmlformats.org/officeDocument/2006/relationships/hyperlink" Target="https://b2b.lukoil-shop.ru/product/lukoil_avantgarde_ultra_10w_40/" TargetMode="External"/><Relationship Id="rId136" Type="http://schemas.openxmlformats.org/officeDocument/2006/relationships/hyperlink" Target="https://zipzap24.ru/drives-and-timing/remen-ventilyatora-k-kt-2sht-belt-art-2614b655" TargetMode="External"/><Relationship Id="rId137" Type="http://schemas.openxmlformats.org/officeDocument/2006/relationships/hyperlink" Target="https://www.hited-shop.ru/product/remen-ventilyatora-belt-art2614b655" TargetMode="External"/><Relationship Id="rId138" Type="http://schemas.openxmlformats.org/officeDocument/2006/relationships/hyperlink" Target="https://dg-trade.ru/catalog/zapchasti-dlya-dvigateley/zapchasti-perkins/remen-sistemy-okhlazhdeniya-perkins-2614b655/" TargetMode="External"/><Relationship Id="rId139" Type="http://schemas.openxmlformats.org/officeDocument/2006/relationships/hyperlink" Target="https://impart.online/catalog/2614b655-remen-k-kt-iz-2kh-sht-perkins-lupsls/?ysclid=lrfxr1ngz376048122" TargetMode="External"/><Relationship Id="rId140" Type="http://schemas.openxmlformats.org/officeDocument/2006/relationships/hyperlink" Target="https://www.autoopt.ru/catalog/911424-remen_privodnoj_klinovoj_13h1075_contitech" TargetMode="External"/><Relationship Id="rId141" Type="http://schemas.openxmlformats.org/officeDocument/2006/relationships/hyperlink" Target="https://avto-sistem.ru/baskets" TargetMode="External"/><Relationship Id="rId142" Type="http://schemas.openxmlformats.org/officeDocument/2006/relationships/hyperlink" Target="https://autocode.ru/price/Contitech/AVX13X1075" TargetMode="External"/><Relationship Id="rId143" Type="http://schemas.openxmlformats.org/officeDocument/2006/relationships/hyperlink" Target="https://www.tss.ru/catalog/zapchasti/zapasnye_chasti_dlya_dizelnykh_dvigateley/dvigateli_perkins/zapchasti_dlya_perkins_404_d_22g_ad_16_m18/remen_privoda_generatora_998_378_10000_66575_fg_wilson_004160/" TargetMode="External"/><Relationship Id="rId144" Type="http://schemas.openxmlformats.org/officeDocument/2006/relationships/hyperlink" Target="https://trustenergo.ru/catalog/zapasnye-chasti-dlya-dizelnykh-dvigateley/tss/remen-privoda-generatora-998-378-10000-66575-fg-wilson/" TargetMode="External"/><Relationship Id="rId145" Type="http://schemas.openxmlformats.org/officeDocument/2006/relationships/hyperlink" Target="https://www.rekon-russia.ru/catalog/detail/remen_privoda_generatora_998_378_10000_66575_fg_wilson/" TargetMode="External"/><Relationship Id="rId146" Type="http://schemas.openxmlformats.org/officeDocument/2006/relationships/hyperlink" Target="https://tss52.com/catalog/zapchasti/dlya-dizelnykh-dvigateley/perkins-dizel/perkins-404-d-22g-ad-16-m18/remen-privoda-generatora-998-378-10000-66575-fg-wilson/?ysclid=lrfykes390518290689" TargetMode="External"/><Relationship Id="rId147" Type="http://schemas.openxmlformats.org/officeDocument/2006/relationships/hyperlink" Target="https://ati-auto.ru/catalog/rubena/88675/" TargetMode="External"/><Relationship Id="rId148" Type="http://schemas.openxmlformats.org/officeDocument/2006/relationships/hyperlink" Target="https://gettzap.ru/cart" TargetMode="External"/><Relationship Id="rId149" Type="http://schemas.openxmlformats.org/officeDocument/2006/relationships/hyperlink" Target="https://jetauto39.ru/baskets" TargetMode="External"/><Relationship Id="rId150" Type="http://schemas.openxmlformats.org/officeDocument/2006/relationships/hyperlink" Target="http://www.stalenergo96.ru/goods/233601679-remen_zubchaty_klinovoy_avx13_1325_la" TargetMode="External"/><Relationship Id="rId151" Type="http://schemas.openxmlformats.org/officeDocument/2006/relationships/hyperlink" Target="https://tnmk-tula.ru/remen-klinovoy-avx13-1325-la-zub-himpt?ysclid=ltcz8rry34603917778" TargetMode="External"/><Relationship Id="rId152" Type="http://schemas.openxmlformats.org/officeDocument/2006/relationships/hyperlink" Target="https://cable.ru/belts/belts-remen_klinovoi_zubchatii_avx13_1325_la.php" TargetMode="External"/><Relationship Id="rId153" Type="http://schemas.openxmlformats.org/officeDocument/2006/relationships/hyperlink" Target="https://autopiter.ru/goods/avx131325/avtokomponent/id167171642?ysclid=ltczaz8sxs400466388" TargetMode="External"/><Relationship Id="rId154" Type="http://schemas.openxmlformats.org/officeDocument/2006/relationships/hyperlink" Target="https://tnmk-tula.ru/remen-klinovoy-avx13-1325-la-zub-himpt?ysclid=ltcz8rry34603917778" TargetMode="External"/><Relationship Id="rId155" Type="http://schemas.openxmlformats.org/officeDocument/2006/relationships/hyperlink" Target="https://fg-wilson.ru/product/filtr-vozdushnyy-elementair-filter-element-art-10000-51238" TargetMode="External"/><Relationship Id="rId156" Type="http://schemas.openxmlformats.org/officeDocument/2006/relationships/hyperlink" Target="https://emex.ru/basket" TargetMode="External"/><Relationship Id="rId157" Type="http://schemas.openxmlformats.org/officeDocument/2006/relationships/hyperlink" Target="https://fg-wilson.ru/product/filtr-vozdushnyy-901-046-26510362-915-660-art-901-046" TargetMode="External"/><Relationship Id="rId158" Type="http://schemas.openxmlformats.org/officeDocument/2006/relationships/hyperlink" Target="https://pecmall.ru/products/FG-WILSON/901046.html" TargetMode="External"/><Relationship Id="rId159" Type="http://schemas.openxmlformats.org/officeDocument/2006/relationships/hyperlink" Target="https://agroserver.ru/b/filtr-vozdushnyy-fg-wilson-901-046-26510362-915-660-1539830.htm" TargetMode="External"/><Relationship Id="rId160" Type="http://schemas.openxmlformats.org/officeDocument/2006/relationships/hyperlink" Target="https://autopiter.ru/cart" TargetMode="External"/><Relationship Id="rId161" Type="http://schemas.openxmlformats.org/officeDocument/2006/relationships/hyperlink" Target="https://texnostimul.ru/baskets" TargetMode="External"/><Relationship Id="rId162" Type="http://schemas.openxmlformats.org/officeDocument/2006/relationships/hyperlink" Target="https://arkopart.ru/baskets" TargetMode="External"/><Relationship Id="rId163" Type="http://schemas.openxmlformats.org/officeDocument/2006/relationships/hyperlink" Target="https://autopiter.ru/goods/af25539/fleetguard/id21461873" TargetMode="External"/><Relationship Id="rId164" Type="http://schemas.openxmlformats.org/officeDocument/2006/relationships/hyperlink" Target="https://baza.drom.ru/tyumen/sell_spare_parts/filtr-vozdushnyj-mtz-dv-lombardini-fleetguard-fleetguard-art-af25539-g14339684661.html" TargetMode="External"/><Relationship Id="rId165" Type="http://schemas.openxmlformats.org/officeDocument/2006/relationships/hyperlink" Target="https://gmgauto.ru/baskets" TargetMode="External"/><Relationship Id="rId166" Type="http://schemas.openxmlformats.org/officeDocument/2006/relationships/hyperlink" Target="https://motor-components.ru/catalog/filtruyushchie-ehlementy-fleetguard/lube_filter/filtr-maslyanyj-lf701-lf0070100/" TargetMode="External"/><Relationship Id="rId167" Type="http://schemas.openxmlformats.org/officeDocument/2006/relationships/hyperlink" Target="https://sv62.ru/products/ABRO/SS2400REDAMRE.html" TargetMode="External"/><Relationship Id="rId168" Type="http://schemas.openxmlformats.org/officeDocument/2006/relationships/hyperlink" Target="https://instrument-40.ru/transmissionnoe-maslo-vitex-tad-17-tm-5-18-10-l-v324805" TargetMode="External"/><Relationship Id="rId169" Type="http://schemas.openxmlformats.org/officeDocument/2006/relationships/hyperlink" Target="https://yunimag.ru/goods/1401431-transmissionnoe-maslo-vitex-tad-17tm-5-18-v324805.html" TargetMode="External"/><Relationship Id="rId170" Type="http://schemas.openxmlformats.org/officeDocument/2006/relationships/hyperlink" Target="https://novorossiysk.vseinstrumenti.ru/product/transmissionnoe-maslo-vitex-tad-17-tm-5-18-10-l-v324805-1582198/?ysclid=lnn32euvjo575984245" TargetMode="External"/><Relationship Id="rId171" Type="http://schemas.openxmlformats.org/officeDocument/2006/relationships/hyperlink" Target="https://smetiz.ru/tovary/gajki/gost-5915-70-d4-k5-mstal-pczink-h0-l0-ca2-akrupnyij-srossiya-117397/" TargetMode="External"/><Relationship Id="rId172" Type="http://schemas.openxmlformats.org/officeDocument/2006/relationships/hyperlink" Target="https://kst21.ru/catalog/gayka_shestigrannaya_gost_5915_5927_din_934/gayka_m_4_otsink_kl_pr_8_0_din_934_gost_5915/" TargetMode="External"/><Relationship Id="rId173" Type="http://schemas.openxmlformats.org/officeDocument/2006/relationships/hyperlink" Target="https://smetiz.ru/tovary/gajki/gost-5915-70-d5-k5-mstal-pbez-pokryitiya-h0-l0-ca2-akrupnyij-srossiya-121664/" TargetMode="External"/><Relationship Id="rId174" Type="http://schemas.openxmlformats.org/officeDocument/2006/relationships/hyperlink" Target="https://www.mtk-fortuna.ru/listdiams.aspx?gradeid=1520" TargetMode="External"/><Relationship Id="rId175" Type="http://schemas.openxmlformats.org/officeDocument/2006/relationships/hyperlink" Target="https://santreyd.ru/product/85272206-klej-germetik-montazhnyj-gibridnyj-polimer-280-ml-belyj-stlm-0060705-axton/" TargetMode="External"/><Relationship Id="rId176" Type="http://schemas.openxmlformats.org/officeDocument/2006/relationships/hyperlink" Target="https://msk.blizko.ru/products/488731964-germetik_universalny_silikonovy_axton_280_ml_bestsvetny_neytralny_none" TargetMode="External"/><Relationship Id="rId177" Type="http://schemas.openxmlformats.org/officeDocument/2006/relationships/hyperlink" Target="https://shop220.ru/b0022977-kley-moment-montazh-polimernyy-kley-025-l.htm" TargetMode="External"/><Relationship Id="rId178" Type="http://schemas.openxmlformats.org/officeDocument/2006/relationships/hyperlink" Target="https://rezar.ru/catalog/kley-polimernyy-moment-montazh-0-25-l/" TargetMode="External"/><Relationship Id="rId179" Type="http://schemas.openxmlformats.org/officeDocument/2006/relationships/hyperlink" Target="https://tula.lustrof.ru/polimernyj-klej-moment-montazh-0-25-l-28-1400-1897367-/" TargetMode="External"/><Relationship Id="rId180" Type="http://schemas.openxmlformats.org/officeDocument/2006/relationships/hyperlink" Target="https://tula.lustrof.ru/polimernyj-klej-moment-montazh-0-25-l-28-1400-1897367-/" TargetMode="External"/><Relationship Id="rId181" Type="http://schemas.openxmlformats.org/officeDocument/2006/relationships/hyperlink" Target="https://kraski-dl.ru/product/kraska-nerzhamet-ral-1028-zhyoltaya-dynya-antiko/" TargetMode="External"/><Relationship Id="rId182" Type="http://schemas.openxmlformats.org/officeDocument/2006/relationships/hyperlink" Target="https://wooood.ru/catalog/emal/kraska_po_metallu_antikorrozionnaya_nerzhamet_10_kg/?oid=7108" TargetMode="External"/><Relationship Id="rId183" Type="http://schemas.openxmlformats.org/officeDocument/2006/relationships/hyperlink" Target="https://www.krasko.ru/catalog/metal/enamel/1/" TargetMode="External"/><Relationship Id="rId184" Type="http://schemas.openxmlformats.org/officeDocument/2006/relationships/hyperlink" Target="https://spb-orion.ru/product/nerzhamet/?ysclid=lrg7w91j5z245218018" TargetMode="External"/><Relationship Id="rId185" Type="http://schemas.openxmlformats.org/officeDocument/2006/relationships/hyperlink" Target="https://kraski-dl.ru/product/kraska-nerzhamet-ral-1028-zhyoltaya-dynya-antiko/" TargetMode="External"/><Relationship Id="rId186" Type="http://schemas.openxmlformats.org/officeDocument/2006/relationships/hyperlink" Target="https://kraski-dl.ru/product/kraska-nerzhamet-ral-6020-zelenyj-hrom-antikorrozionnaya-poluglyanczevaya-dlya-metalla-krasko/" TargetMode="External"/><Relationship Id="rId187" Type="http://schemas.openxmlformats.org/officeDocument/2006/relationships/hyperlink" Target="https://stavropol.krasko.ru/catalog/metal/enamel/1/" TargetMode="External"/><Relationship Id="rId188" Type="http://schemas.openxmlformats.org/officeDocument/2006/relationships/hyperlink" Target="https://spb-orion.ru/product/nerzhamet/?ysclid=lrg7w91j5z245218018" TargetMode="External"/><Relationship Id="rId189" Type="http://schemas.openxmlformats.org/officeDocument/2006/relationships/hyperlink" Target="https://kraski-dl.ru/product/kraska-nerzhamet-ral-6029-zelenaya-myata-antikorrozionnaya-poluglyanczevaya-dlya-metalla-krasko/" TargetMode="External"/><Relationship Id="rId190" Type="http://schemas.openxmlformats.org/officeDocument/2006/relationships/hyperlink" Target="https://kraski-dl.ru/product/kraska-nerzhamet-ral-3001-signalnyj-krasnyj/" TargetMode="External"/><Relationship Id="rId191" Type="http://schemas.openxmlformats.org/officeDocument/2006/relationships/hyperlink" Target="https://www.krasko.ru/catalog/metal/enamel/1/" TargetMode="External"/><Relationship Id="rId192" Type="http://schemas.openxmlformats.org/officeDocument/2006/relationships/hyperlink" Target="https://promsnab.me/catalog/lakokrasochnye_materialy/grunt_emal/nerzhamet/" TargetMode="External"/><Relationship Id="rId193" Type="http://schemas.openxmlformats.org/officeDocument/2006/relationships/hyperlink" Target="https://spb-orion.ru/product/nerzhamet/?ysclid=lrg7w91j5z245218018" TargetMode="External"/><Relationship Id="rId194" Type="http://schemas.openxmlformats.org/officeDocument/2006/relationships/hyperlink" Target="https://kraski-dl.ru/product/kraska-nerzhamet-ral-3020-transportnyj-krasn/" TargetMode="External"/><Relationship Id="rId195" Type="http://schemas.openxmlformats.org/officeDocument/2006/relationships/hyperlink" Target="https://postroyka-nv.ru/catalog/show/Emal_NERZHAMETRAL7040seryj20kg" TargetMode="External"/><Relationship Id="rId196" Type="http://schemas.openxmlformats.org/officeDocument/2006/relationships/hyperlink" Target="https://www.krasko.ru/catalog/metal/enamel/1/" TargetMode="External"/><Relationship Id="rId197" Type="http://schemas.openxmlformats.org/officeDocument/2006/relationships/hyperlink" Target="https://ekb.pulscen.ru/products/grunt_emal_nerzhamet_49323632" TargetMode="External"/><Relationship Id="rId198" Type="http://schemas.openxmlformats.org/officeDocument/2006/relationships/hyperlink" Target="https://spb-orion.ru/product/nerzhamet/?ysclid=lrg7w91j5z245218018" TargetMode="External"/><Relationship Id="rId199" Type="http://schemas.openxmlformats.org/officeDocument/2006/relationships/hyperlink" Target="https://kudo-trade.ru/p/emal-alkidnaya-universalnaya-520-ml-aerozol-kudo-ral7032-seraya-galka-ku-07032" TargetMode="External"/><Relationship Id="rId200" Type="http://schemas.openxmlformats.org/officeDocument/2006/relationships/hyperlink" Target="https://www.krasko.ru/catalog/metal/enamel/1/" TargetMode="External"/><Relationship Id="rId201" Type="http://schemas.openxmlformats.org/officeDocument/2006/relationships/hyperlink" Target="https://kraski-dl.ru/product/kraska-nerzhamet-ral-9017-chyornyj-transportny/" TargetMode="External"/><Relationship Id="rId202" Type="http://schemas.openxmlformats.org/officeDocument/2006/relationships/hyperlink" Target="https://postroyka-nv.ru/catalog/show/Emal_NERZHAMETRAL9005chernyj20kg" TargetMode="External"/><Relationship Id="rId203" Type="http://schemas.openxmlformats.org/officeDocument/2006/relationships/hyperlink" Target="https://electrovent.ru/elektrotehnicheskie-tovary/lampy/energosberegayuschie-lampy/energosberegayuschaya-lampa-philips-softone-esaver-11w-827-e27-230-240v-t60/" TargetMode="External"/><Relationship Id="rId204" Type="http://schemas.openxmlformats.org/officeDocument/2006/relationships/hyperlink" Target="https://ledgoods.ru/osveshchenie/lamps/lampy-ehnergosberegayushchie-kll/lampa-lyuminescentnaya-kll-genie-es-11w-ww-e27-220-240v-1pf-6-871150080119710-ph80119710-philips/" TargetMode="External"/><Relationship Id="rId205" Type="http://schemas.openxmlformats.org/officeDocument/2006/relationships/hyperlink" Target="https://www.smartlamps.ru/products/softone-esaver-11w-827-e27-230-240v-t60-d60x114-philips-lampa" TargetMode="External"/><Relationship Id="rId206" Type="http://schemas.openxmlformats.org/officeDocument/2006/relationships/hyperlink" Target="https://www.chipdip.ru/product0/8173557661?ysclid=lnnduye3ft880435890" TargetMode="External"/><Relationship Id="rId207" Type="http://schemas.openxmlformats.org/officeDocument/2006/relationships/hyperlink" Target="https://rs24.ru/product/165966" TargetMode="External"/><Relationship Id="rId208" Type="http://schemas.openxmlformats.org/officeDocument/2006/relationships/hyperlink" Target="https://www.etm.ru/cat/nn/1811446?ysclid=lnndurbfbl890260666&amp;city=77" TargetMode="External"/><Relationship Id="rId209" Type="http://schemas.openxmlformats.org/officeDocument/2006/relationships/hyperlink" Target="https://www.etm.ru/cat/nn/9053610?city=77" TargetMode="External"/><Relationship Id="rId210" Type="http://schemas.openxmlformats.org/officeDocument/2006/relationships/hyperlink" Target="https://electro-materiali.ru/catalog/lampy-istochniki-sveta/lampy-luminestsentnye/lampy-kompaktnye-lyuministsentnye-i-lyuministsentnye-uniel/102649/" TargetMode="External"/><Relationship Id="rId211" Type="http://schemas.openxmlformats.org/officeDocument/2006/relationships/hyperlink" Target="https://elkon.su/lampa-energosberegayushchaya-kll-45-842-e27-d64x157-spiral-kosmos/" TargetMode="External"/><Relationship Id="rId212" Type="http://schemas.openxmlformats.org/officeDocument/2006/relationships/hyperlink" Target="https://stavropol.pulscen.ru/products/labomid_203_fasovka_35_kg_59604586" TargetMode="External"/><Relationship Id="rId213" Type="http://schemas.openxmlformats.org/officeDocument/2006/relationships/hyperlink" Target="https://www.aquateka.ru/?cat=products&amp;prod=tehnicheskoe-moyushee-sredstvo-labomid-203-40-kg-650040" TargetMode="External"/><Relationship Id="rId214" Type="http://schemas.openxmlformats.org/officeDocument/2006/relationships/hyperlink" Target="https://www.td-polimer54.ru/goods/84558460-labomid_203" TargetMode="External"/><Relationship Id="rId215" Type="http://schemas.openxmlformats.org/officeDocument/2006/relationships/hyperlink" Target="https://himreactiv.ru/catalog/khimreaktivy_1/khimicheskie_reaktivy_osch_khch_chda_tekhnicheskie/_203_40_2381_005_10417155_2004/?ysclid=lsvqvgnglz766710256" TargetMode="External"/><Relationship Id="rId216" Type="http://schemas.openxmlformats.org/officeDocument/2006/relationships/hyperlink" Target="https://lenreactiv.ru/shop/himicheskaya/tehnicheskaya_himiya/113022/?ysclid=lsvqrnw35j92629906" TargetMode="External"/><Relationship Id="rId217" Type="http://schemas.openxmlformats.org/officeDocument/2006/relationships/hyperlink" Target="https://www.vseinstrumenti.ru/product/montazhnyj-klej-ceresit-cb-10-1864068-3014720/" TargetMode="External"/><Relationship Id="rId218" Type="http://schemas.openxmlformats.org/officeDocument/2006/relationships/hyperlink" Target="https://ts-krovizol.ru/catalog/product/akrilovyy-montazhnyy-kley-ceresit-cb-10-400-gr/" TargetMode="External"/><Relationship Id="rId219" Type="http://schemas.openxmlformats.org/officeDocument/2006/relationships/hyperlink" Target="https://www.stroyshopper.ru/product/klej_montazhnyj_akrilovyj_ceresit_cb_10/" TargetMode="External"/><Relationship Id="rId220" Type="http://schemas.openxmlformats.org/officeDocument/2006/relationships/hyperlink" Target="https://profiplitka.ru/product/ceresit-cn-76-vysokoprochnaja-samovyravnivajuschajasja-tsementnaja-smes-ot-4-do-15-50-mm-25-kg/" TargetMode="External"/><Relationship Id="rId221" Type="http://schemas.openxmlformats.org/officeDocument/2006/relationships/hyperlink" Target="https://ts-krovizol.ru/catalog/product/samovyravnivayushchayasya-tsementnaya-smes-ceresit-cn-76-25-kg/?utm_source=stroyportal&amp;utm_medium=tag&amp;utm_campaign=moskva&amp;utm_term=1584431348722160720&amp;utm_content=24525&amp;strprtl=8fec4d06960f903a983c8359bb307ba9" TargetMode="External"/><Relationship Id="rId222" Type="http://schemas.openxmlformats.org/officeDocument/2006/relationships/hyperlink" Target="https://www.vseinstrumenti.ru/product/universalnyj-germetik-ceresit-cs-24-prozrachnyj-2005218-2392744/?ysclid=lrggpjlsko620944375" TargetMode="External"/><Relationship Id="rId223" Type="http://schemas.openxmlformats.org/officeDocument/2006/relationships/hyperlink" Target="https://ceresitshop.ru/catalog/penyi-germetiki-klei/germetiki/ceresit-cs-24?ysclid=lrggqzeysl365402111" TargetMode="External"/><Relationship Id="rId224" Type="http://schemas.openxmlformats.org/officeDocument/2006/relationships/hyperlink" Target="https://www.vseinstrumenti.ru/product/universalnyj-germetik-ceresit-cs-24-prozrachnyj-2005218-2392744/?ysclid=lrggpjlsko620944375" TargetMode="External"/><Relationship Id="rId225" Type="http://schemas.openxmlformats.org/officeDocument/2006/relationships/hyperlink" Target="https://ceresit-russia.ru/ceresit-ct29-fasovka-25-kg/" TargetMode="External"/><Relationship Id="rId226" Type="http://schemas.openxmlformats.org/officeDocument/2006/relationships/hyperlink" Target="https://rdstroy.ru/catalog/shpatlevki_tsementnye/ct_225_25_shpatlyevka_fasad_finish_belaya_48_sht_pod_ceresit/" TargetMode="External"/><Relationship Id="rId227" Type="http://schemas.openxmlformats.org/officeDocument/2006/relationships/hyperlink" Target="https://alea.shop/shpaklevka-cementnaya-belaya-ceresit-st-225-25-kg/" TargetMode="External"/><Relationship Id="rId228" Type="http://schemas.openxmlformats.org/officeDocument/2006/relationships/hyperlink" Target="https://stavropol.leroymerlin.ru/product/shtukaturka-cementnaya-cerezit-ct29-i-remontnaya-shpaklevka-25-kg-12757860/?ysclid=lrghka40lq578067494&amp;fromRegion=34" TargetMode="External"/><Relationship Id="rId229" Type="http://schemas.openxmlformats.org/officeDocument/2006/relationships/hyperlink" Target="https://megamarket.ru/catalog/details/shtukaturka-i-remontnaya-shpaklevka-ct-29-25-kg-ceresit-600004815820/?ysclid=lrghlhaacy675778105" TargetMode="External"/><Relationship Id="rId230" Type="http://schemas.openxmlformats.org/officeDocument/2006/relationships/hyperlink" Target="https://ceresit-russia.ru/ceresit-ct29-fasovka-25-kg/" TargetMode="External"/><Relationship Id="rId231" Type="http://schemas.openxmlformats.org/officeDocument/2006/relationships/hyperlink" Target="https://stavropol.leroymerlin.ru/product/kley-dlya-plitki-i-keramogranita-cerezit-cm-14-extra-25-kg-82040394/?ysclid=lrghtm2zpp77919402&amp;fromRegion=34" TargetMode="External"/><Relationship Id="rId232" Type="http://schemas.openxmlformats.org/officeDocument/2006/relationships/hyperlink" Target="https://stavropol.leroymerlin.ru/product/kley-dlya-plitki-i-keramogranita-cerezit-cm-14-extra-25-kg-82040394/?ysclid=lrghtm2zpp77919402&amp;fromRegion=34" TargetMode="External"/><Relationship Id="rId233" Type="http://schemas.openxmlformats.org/officeDocument/2006/relationships/hyperlink" Target="https://kraskivmoskve.ru/product/ceresit-ts-62tserezit-ts-62-universalnaya-montazhnaya-pena" TargetMode="External"/><Relationship Id="rId234" Type="http://schemas.openxmlformats.org/officeDocument/2006/relationships/hyperlink" Target="https://ceresitshop.ru/catalog/penyi-germetiki-klei/penyi/ceresit-ts-62" TargetMode="External"/><Relationship Id="rId235" Type="http://schemas.openxmlformats.org/officeDocument/2006/relationships/hyperlink" Target="https://www-fasad.ru/pena-montazhnaya-ceresit-ts-62-universalnaya-750-ml/" TargetMode="External"/><Relationship Id="rId236" Type="http://schemas.openxmlformats.org/officeDocument/2006/relationships/hyperlink" Target="https://b-a-v.ru/catalog/ZY-Q9855/?ysclid=lrhmaljvis741090532" TargetMode="External"/><Relationship Id="rId237" Type="http://schemas.openxmlformats.org/officeDocument/2006/relationships/hyperlink" Target="https://www.chipdip.ru/product0/8018241711" TargetMode="External"/><Relationship Id="rId238" Type="http://schemas.openxmlformats.org/officeDocument/2006/relationships/hyperlink" Target="https://rs24.ru/product/1713543" TargetMode="External"/><Relationship Id="rId239" Type="http://schemas.openxmlformats.org/officeDocument/2006/relationships/hyperlink" Target="https://tyumenpak.ru/catalog/musornye-meshki/40003/" TargetMode="External"/><Relationship Id="rId240" Type="http://schemas.openxmlformats.org/officeDocument/2006/relationships/hyperlink" Target="https://shop.centrpak.com/product/meshok-d-mus-30l-30sht-rul-chernye-5060sm-pnd-romashka-70/" TargetMode="External"/><Relationship Id="rId241" Type="http://schemas.openxmlformats.org/officeDocument/2006/relationships/hyperlink" Target="https://gofraflex.ru/katalog/gibkaya-podvodka-iz-nerzhaveyushchej-stali/1-2-&#1076;&#1102;&#1081;&#1084;&#1072;-gf15&#1087;&#1088;/&#1075;&#1080;&#1073;&#1082;&#1072;&#1103;-&#1087;&#1086;&#1076;&#1074;&#1086;&#1076;&#1082;&#1072;-&#1080;&#1079;-&#1085;&#1077;&#1088;&#1078;&#1072;&#1074;&#1077;&#1102;&#1097;&#1077;&#1081;-&#1089;&#1090;&#1072;&#1083;&#1080;-1-2-&#1076;&#1102;&#1081;&#1084;&#1072;,-gf15-500&#1087;&#1088;-gofra.html" TargetMode="External"/><Relationship Id="rId242" Type="http://schemas.openxmlformats.org/officeDocument/2006/relationships/hyperlink" Target="https://santreyd.ru/product/gibkaya-podvodka-iz-nerzhaveyushchey-stali-1-2-dyuyma-gf15-500pr-flexible-hose-rossiya/" TargetMode="External"/><Relationship Id="rId243" Type="http://schemas.openxmlformats.org/officeDocument/2006/relationships/hyperlink" Target="https://aqua-flex.ru/catalog/gibkie-podvodki-iz-nerzhaveyushhej-stali/podvodki-gajka-gajkagajka-shtuczer/gibkaya-podvodka-12-dyujma-nerzhaveyushhaya-stal-500-mm.html" TargetMode="External"/><Relationship Id="rId244" Type="http://schemas.openxmlformats.org/officeDocument/2006/relationships/hyperlink" Target="https://knopka.org/catalog/kantselyarskie-tovary/pismennie-prinadlejnosti/markery/marker-kraska/marker-kraska_58073.html?ysclid=lnn3h6eba5631905189" TargetMode="External"/><Relationship Id="rId245" Type="http://schemas.openxmlformats.org/officeDocument/2006/relationships/hyperlink" Target="https://kancnika.ru/catalog/pis-mennye-prinadlezhnosti/markery-flomastery/markery-spetsial-nye/Marker-kraska-BLACK-chernyy-4mm.html?ysclid=lnn3j2e0nt688273093" TargetMode="External"/><Relationship Id="rId246" Type="http://schemas.openxmlformats.org/officeDocument/2006/relationships/hyperlink" Target="https://www.officemag.ru/catalog/goods/151481/" TargetMode="External"/><Relationship Id="rId247" Type="http://schemas.openxmlformats.org/officeDocument/2006/relationships/hyperlink" Target="https://leroymerlin.ru/product/marker-kraska-munhwa-82386606/?ysclid=lreu2ptily276140315&amp;utm_referrer=https%3A%2F%2Fya.ru%2F" TargetMode="External"/><Relationship Id="rId248" Type="http://schemas.openxmlformats.org/officeDocument/2006/relationships/hyperlink" Target="https://stavropol.kuvalda.ru/catalog/7839/product-116121/?ysclid=lreu99hbxc361246411" TargetMode="External"/><Relationship Id="rId249" Type="http://schemas.openxmlformats.org/officeDocument/2006/relationships/drawing" Target="../drawings/drawing3.xml"/><Relationship Id="rId250" Type="http://schemas.openxmlformats.org/officeDocument/2006/relationships/vmlDrawing" Target="../drawings/vmlDrawing3.v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hyperlink" Target="https://td-rodionov.ru/catalog/sistemy_vodopodgotovki_i_vodoochistki_/filtr_pervichnoy_ochistki_vody/gidrotsiklonnyy_filtr/filtr_gidrotsiklonnyy_3_flantsy_v_komplekte.html" TargetMode="External"/><Relationship Id="rId3" Type="http://schemas.openxmlformats.org/officeDocument/2006/relationships/hyperlink" Target="https://n-wt.ru/page61400073.html" TargetMode="External"/><Relationship Id="rId4" Type="http://schemas.openxmlformats.org/officeDocument/2006/relationships/hyperlink" Target="https://www.nowa-tech.ru/gidrocziklonnyie-filtryi-dlya-vodyi/?ysclid=m7m4u5k28b327771040" TargetMode="External"/><Relationship Id="rId5" Type="http://schemas.openxmlformats.org/officeDocument/2006/relationships/hyperlink" Target="https://ellcon.ru/shop/goods/vyiklyuchatel_avtomaticheskiy_modulnyiy_1p_B_25a_45ka_va47_29_KARAT_IEK_MVA20_1_025_B-29747" TargetMode="External"/><Relationship Id="rId6" Type="http://schemas.openxmlformats.org/officeDocument/2006/relationships/hyperlink" Target="https://dats-system.ru/shop/goods/vyiklyuchatel_avtomaticheskiy_modulnyiy_1p_C_25a_45ka_va47_29_KARAT_IEK_MVA20_1_025_C-32695" TargetMode="External"/><Relationship Id="rId7" Type="http://schemas.openxmlformats.org/officeDocument/2006/relationships/hyperlink" Target="https://www.tinko.ru/catalog/product/245148/" TargetMode="External"/><Relationship Id="rId8" Type="http://schemas.openxmlformats.org/officeDocument/2006/relationships/drawing" Target="../drawings/drawing5.xml"/><Relationship Id="rId9" Type="http://schemas.openxmlformats.org/officeDocument/2006/relationships/vmlDrawing" Target="../drawings/vmlDrawing4.v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hyperlink" Target="https://stavropol.leroymerlin.ru/product/germetik-abro-11-ab-ch-re-s-85-g-90715820/?ysclid=llnl6q54jw612658047&amp;fromRegion=34" TargetMode="External"/><Relationship Id="rId3" Type="http://schemas.openxmlformats.org/officeDocument/2006/relationships/hyperlink" Target="https://new.optorg.ru/catalog/avtomobilnye_tovary_shiny/avtohimiya/germetiki_avtomobilnye/155763/?ysclid=llnks5ytfg726576769" TargetMode="External"/><Relationship Id="rId4" Type="http://schemas.openxmlformats.org/officeDocument/2006/relationships/hyperlink" Target="https://avtoleon.com/catalog/avtoemali_i_raskhodnye_materialy/avtoemali/industrialnye_emali_ral/grunt_emal_3v1/ral_7040_grunt_emal_korroed_po_rzhavchine_okonnyy_seryy_0_9kg_mister_hardmax/" TargetMode="External"/><Relationship Id="rId5" Type="http://schemas.openxmlformats.org/officeDocument/2006/relationships/hyperlink" Target="https://stavropol.vseinstrumenti.ru/product/grunt-emal-po-rzhavchine-hardmax-korroed-ral-7035-svetlo-seryj-banka-1-9-kg-1-sht-4690417071609-1853418/?ysclid=llum50i6g0715464475" TargetMode="External"/><Relationship Id="rId6" Type="http://schemas.openxmlformats.org/officeDocument/2006/relationships/hyperlink" Target="https://avtomaster66.ru/catalog/grunty_1/grunt_emal_mister_hammer_hardmax_korroed_ral_5015_goluboy_po_rzhavchine_1l_0_9kg_kvil_/" TargetMode="External"/><Relationship Id="rId7" Type="http://schemas.openxmlformats.org/officeDocument/2006/relationships/hyperlink" Target="https://www.chipdip.ru/product0/8008857921" TargetMode="External"/><Relationship Id="rId8" Type="http://schemas.openxmlformats.org/officeDocument/2006/relationships/hyperlink" Target="https://novorossiysk.vseinstrumenti.ru/product/grunt-emal-po-rzhavchine-hardmax-korroed-ral-5015-goluboj-banka-0-9-kg-1-sht-4690417077977-1853240/" TargetMode="External"/><Relationship Id="rId9" Type="http://schemas.openxmlformats.org/officeDocument/2006/relationships/hyperlink" Target="https://mstroy.ru/catalog/lakokrasochnye_materialy/emali/emali_po_rzhavchine_kvil/grunt_emal_gladkaya/grunt_emal_gladkaya_korroed_po_rzhavchine_ral5005_siniy_1_9kg/?ysclid=lr95vr8m1h18883673" TargetMode="External"/><Relationship Id="rId10" Type="http://schemas.openxmlformats.org/officeDocument/2006/relationships/hyperlink" Target="https://ptcpro.ru/catalog/grunt_emal_po_rzhavchine/9278/?ysclid=lr95vcrrtb830438952" TargetMode="External"/><Relationship Id="rId11" Type="http://schemas.openxmlformats.org/officeDocument/2006/relationships/hyperlink" Target="https://tulasnab.ru/grunt-emal-korroed-mister-hardmax-ral-5005-sinij-po-rgavchine-19kg-kvil" TargetMode="External"/><Relationship Id="rId12" Type="http://schemas.openxmlformats.org/officeDocument/2006/relationships/hyperlink" Target="https://www.chipdip.ru/product0/8018241708?ysclid=lnnc3szz4c293021830" TargetMode="External"/><Relationship Id="rId13" Type="http://schemas.openxmlformats.org/officeDocument/2006/relationships/hyperlink" Target="https://avtomaster66.ru/catalog/grunty_1/grunt_emal_mister_hammer_hardmax_korroed_ral_3011_krasno_korichnevaya_po_rzhavchine_1l_0_9kg_kvil/?ysclid=lnnc6qp3ku546632107" TargetMode="External"/><Relationship Id="rId14" Type="http://schemas.openxmlformats.org/officeDocument/2006/relationships/hyperlink" Target="https://novorossiysk.vseinstrumenti.ru/product/grunt-emal-po-rzhavchine-hardmax-korroed-ral-3011-krasno-korichnevyj-banka-0-9-kg-1-sht-4690417071241-1853225/" TargetMode="External"/><Relationship Id="rId15" Type="http://schemas.openxmlformats.org/officeDocument/2006/relationships/hyperlink" Target="https://ptcpro.ru/catalog/grunt_emal_po_rzhavchine/9277/?ysclid=lr974d4cvw826429706" TargetMode="External"/><Relationship Id="rId16" Type="http://schemas.openxmlformats.org/officeDocument/2006/relationships/hyperlink" Target="https://www.vseinstrumenti.ru/product/grunt-emal-po-rzhavchine-hardmax-korroed-ral-3011-krasno-korichnevyj-banka-1-9-kg-1-sht-4690417071258-1853226/?ysclid=lr970b2cvx643770471" TargetMode="External"/><Relationship Id="rId17" Type="http://schemas.openxmlformats.org/officeDocument/2006/relationships/hyperlink" Target="https://www.chipdip.ru/product0/8018241705" TargetMode="External"/><Relationship Id="rId18" Type="http://schemas.openxmlformats.org/officeDocument/2006/relationships/hyperlink" Target="https://www.kirelis.ru/catalog/kolca/vtylki-myvp/id_30848/" TargetMode="External"/><Relationship Id="rId19" Type="http://schemas.openxmlformats.org/officeDocument/2006/relationships/hyperlink" Target="https://antisplash.ru/koltso-uprugoe-muvp-k3-35kh18kh9kh4-5" TargetMode="External"/><Relationship Id="rId20" Type="http://schemas.openxmlformats.org/officeDocument/2006/relationships/hyperlink" Target="https://rezina74.ru/catalog/uplotnitelnyye-koltsa/koltsa-i-vtulki-muvp/103553/?ysclid=lr98kh57eb461942727" TargetMode="External"/><Relationship Id="rId21" Type="http://schemas.openxmlformats.org/officeDocument/2006/relationships/hyperlink" Target="https://antisplash.ru/koltso-uprugoe-muvp-k3-35kh18kh9kh4-5?yclid=4043379713605631999" TargetMode="External"/><Relationship Id="rId22" Type="http://schemas.openxmlformats.org/officeDocument/2006/relationships/hyperlink" Target="https://www.kirelis.ru/catalog/kolca/vtylki-myvp/id_30848/?ysclid=lr98k0o2hp926239490" TargetMode="External"/><Relationship Id="rId23" Type="http://schemas.openxmlformats.org/officeDocument/2006/relationships/hyperlink" Target="https://aquacentr18.ru/catalog/zapornaya_armatura/kran_sharovyy_du15_gg_babochka_pro_aqua/" TargetMode="External"/><Relationship Id="rId24" Type="http://schemas.openxmlformats.org/officeDocument/2006/relationships/hyperlink" Target="https://stmgroup.ru/goods/kran-sarovyj-vn-vn-12-bab-pro-aqua-fwb63-f15-f15x?ysclid=lnn0hvtj5u790161172" TargetMode="External"/><Relationship Id="rId25" Type="http://schemas.openxmlformats.org/officeDocument/2006/relationships/hyperlink" Target="https://www.etm.ru/cat/nn/6219190?ysclid=lnn0i717kf57925310&amp;city=77" TargetMode="External"/><Relationship Id="rId26" Type="http://schemas.openxmlformats.org/officeDocument/2006/relationships/hyperlink" Target="https://www.etm.ru/cat/nn/2386322?ysclid=lnn17vsbvg856756019&amp;city=77" TargetMode="External"/><Relationship Id="rId27" Type="http://schemas.openxmlformats.org/officeDocument/2006/relationships/hyperlink" Target="https://novorossiysk.vseinstrumenti.ru/product/sharovoj-polnoprohodnoj-kran-pro-aqua-v-v-ruchka-rychag-1-fwl51-f25-f25x-978114/?ysclid=lnn119nu9u716721344" TargetMode="External"/><Relationship Id="rId28" Type="http://schemas.openxmlformats.org/officeDocument/2006/relationships/hyperlink" Target="https://www.teremonline.ru/catalog/inzhenernaya-santekhnika/zapornoreguliruyushchaya-armatura/1673_krany-sharovye/pro-aqua-fwl51f25f25x-pro-aqua-d-1-kran-sharovoy-polnoprokhodnoy-ruchkarychag-vv/?ysclid=lnn11fl0aw223348086" TargetMode="External"/><Relationship Id="rId29" Type="http://schemas.openxmlformats.org/officeDocument/2006/relationships/hyperlink" Target="https://www.proaqua.pro/catalog/armatura/sharovye-krany/sharovye-krany-spetsialnogo-naznacheniya/kran-uglovoy-s-160-patrubkom-dlya-shlanga-ruchka-rychag39/?ysclid=lnn1iukr2j945232635" TargetMode="External"/><Relationship Id="rId30" Type="http://schemas.openxmlformats.org/officeDocument/2006/relationships/hyperlink" Target="https://www.etm.ru/cat/nn/7406373?ysclid=lnn1j0vvah650562446&amp;city=77" TargetMode="External"/><Relationship Id="rId31" Type="http://schemas.openxmlformats.org/officeDocument/2006/relationships/hyperlink" Target="https://www.teremonline.ru/catalog/inzhenernaya-santekhnika/zapornoreguliruyushchaya-armatura/1673_krany-sharovye/pro-aqua-ewl55m15x-pro-aqua-d-12-kran-uglovoy-s-patrubkom-dlya-shlanga-ruchkarychag-n/?ysclid=lnn1ixv7ug729964205" TargetMode="External"/><Relationship Id="rId32" Type="http://schemas.openxmlformats.org/officeDocument/2006/relationships/hyperlink" Target="https://www.proaqua.pro/catalog/armatura/sharovye-krany/sharovye-krany-spetsialnogo-naznacheniya/kran-uglovoy-s-160-patrubkom-dlya-shlanga-ruchka-rychag39/?ysclid=lnn1iukr2j945232635" TargetMode="External"/><Relationship Id="rId33" Type="http://schemas.openxmlformats.org/officeDocument/2006/relationships/hyperlink" Target="https://www.etm.ru/cat/nn/6817682" TargetMode="External"/><Relationship Id="rId34" Type="http://schemas.openxmlformats.org/officeDocument/2006/relationships/hyperlink" Target="https://www.teremonline.ru/catalog/inzhenernaya-santekhnika/zapornoreguliruyushchaya-armatura/1673_krany-sharovye/pro-aqua-ewl55m20x-pro-aqua-d-34-kran-uglovoy-s-patrubkom-dlya-shlanga-ruchkarychag-n/" TargetMode="External"/><Relationship Id="rId35" Type="http://schemas.openxmlformats.org/officeDocument/2006/relationships/hyperlink" Target="https://snabinstrument.ru/catalog/abrazivnyy_instrument/izdeliya_iz_shlifshkurki/krugi_shlifovalnye/krugi_lepestkovye_tortsevye/krug_lepestkovyy_tortsevoy_klt2_125kh22_40n_r40_kk10khw_tu_3980_006_00223332_2006_baz/?ysclid=lra8ac92of558038666" TargetMode="External"/><Relationship Id="rId36" Type="http://schemas.openxmlformats.org/officeDocument/2006/relationships/hyperlink" Target="https://svarog-tk.ru/goods/abrasives/29/3321/?product=3321" TargetMode="External"/><Relationship Id="rId37" Type="http://schemas.openxmlformats.org/officeDocument/2006/relationships/hyperlink" Target="https://www.vseinstrumenti.ru/product/krug-lepestkovyj-tortsevoj-125x22-2-mm-p40-gigant-grf-40-1492522/?ysclid=lra88n68wk527561771" TargetMode="External"/><Relationship Id="rId38" Type="http://schemas.openxmlformats.org/officeDocument/2006/relationships/hyperlink" Target="https://ru.lukoil-shop.com/catalog/legkovye_avtomobili/motornye_masla/maslo_motornoe_lukoyl_super_15w_40_sg_cd/?ysclid=lozhj2wyln789992910" TargetMode="External"/><Relationship Id="rId39" Type="http://schemas.openxmlformats.org/officeDocument/2006/relationships/hyperlink" Target="https://www.vseinstrumenti.ru/product/motornoe-maslo-lukojl-avangard-sae-15w-40-api-cf-4-sg-5-l-19309-4825129/" TargetMode="External"/><Relationship Id="rId40" Type="http://schemas.openxmlformats.org/officeDocument/2006/relationships/hyperlink" Target="https://baza.drom.ru/vladivostok/chemistry/motoroil/lukojl-avangard-ultra-m3-sae-15w40-api-ci-4-sl-105001880.html" TargetMode="External"/><Relationship Id="rId41" Type="http://schemas.openxmlformats.org/officeDocument/2006/relationships/hyperlink" Target="https://megamarket.ru/catalog/details/maslo-motornoe-lukoil-19195-100001150034/?ysclid=lra95z7lkr929975457" TargetMode="External"/><Relationship Id="rId42" Type="http://schemas.openxmlformats.org/officeDocument/2006/relationships/hyperlink" Target="https://www.vseinstrumenti.ru/product/motornoe-maslo-lukojl-super-sae-15w-40-api-sg-cd-4-l-19195-3059288/?ysclid=lra8x7rpr92387993" TargetMode="External"/><Relationship Id="rId43" Type="http://schemas.openxmlformats.org/officeDocument/2006/relationships/hyperlink" Target="https://ru.lukoil-shop.com/catalog/legkovye_avtomobili/motornye_masla/maslo_motornoe_lukoyl_super_15w_40_sg_cd/?ysclid=lra8x2yo4t690392950" TargetMode="External"/><Relationship Id="rId44" Type="http://schemas.openxmlformats.org/officeDocument/2006/relationships/hyperlink" Target="https://vodaiteplo-online.ru/catalog/vodonagrevatel_thermex_drift_10_o/" TargetMode="External"/><Relationship Id="rId45" Type="http://schemas.openxmlformats.org/officeDocument/2006/relationships/hyperlink" Target="https://vodaiteplo-online.ru/catalog/vodonagrevatel_thermex_drift_10_o/?yclid=2242940148256866303" TargetMode="External"/><Relationship Id="rId46" Type="http://schemas.openxmlformats.org/officeDocument/2006/relationships/hyperlink" Target="https://shsl.ru/smesitel-dlya-vanny-s-dushem-psm-profsan-psm-150-k80-standart-b-tip-sm-vudrnshlr/?ysclid=loznv22ugh312817747" TargetMode="External"/><Relationship Id="rId47" Type="http://schemas.openxmlformats.org/officeDocument/2006/relationships/hyperlink" Target="https://yaropt24.ru/product/smesitel-dlya-vanny-sm-vudrnshla-ks-63007263-rossiya-kazan-gost-25809-96/" TargetMode="External"/><Relationship Id="rId48" Type="http://schemas.openxmlformats.org/officeDocument/2006/relationships/hyperlink" Target="https://www.vseinstrumenti.ru/product/smesitel-dlya-vanny-s-dushem-profsan-psm-tip-sm-vudrnshlr-psm-150-89-1651200/?ysclid=loznto0gsg531057395" TargetMode="External"/><Relationship Id="rId49" Type="http://schemas.openxmlformats.org/officeDocument/2006/relationships/hyperlink" Target="https://snabsan.ru/Smesitel_dlya_vanny_s_dushem_PSM-PROFSAN_PSM-150-K89_STANDART-B_tip_Sm-VUDRNShlr/?ysclid=lrabpxo517806531528" TargetMode="External"/><Relationship Id="rId50" Type="http://schemas.openxmlformats.org/officeDocument/2006/relationships/hyperlink" Target="https://shsl.ru/smesitel-dlya-vanny-s-dushem-psm-profsan-psm-150-k80-standart-b-tip-sm-vudrnshlr/?ysclid=lrabm7iupc681723541" TargetMode="External"/><Relationship Id="rId51" Type="http://schemas.openxmlformats.org/officeDocument/2006/relationships/hyperlink" Target="https://www.vseinstrumenti.ru/product/smesitel-dlya-vanny-s-dushem-profsan-psm-tip-sm-vudrnshlr-psm-150-89-1651200/?ysclid=lrabew9rrs543056329" TargetMode="External"/><Relationship Id="rId52" Type="http://schemas.openxmlformats.org/officeDocument/2006/relationships/hyperlink" Target="https://shsl.ru/smesitel-dlya-rakoviny-psm-profsan-psm-740-008-plyus-tip-sm-umotsba/?ysclid=lrad4pfspa191109063" TargetMode="External"/><Relationship Id="rId53" Type="http://schemas.openxmlformats.org/officeDocument/2006/relationships/hyperlink" Target="https://market.yandex.ru/product--profsan-psm-smesitel-dlia-rakoviny-seriia-komplektatsiia-tip-gost-sm-umotsba-psm-104-5/1446274854?sku=101457051894&amp;do-waremd5=MN4R_cxAyC16qpqPK8PM2A&amp;uniqueId=923915" TargetMode="External"/><Relationship Id="rId54" Type="http://schemas.openxmlformats.org/officeDocument/2006/relationships/hyperlink" Target="https://www.vseinstrumenti.ru/product/smesitel-dlya-rakoviny-profsan-psm-tip-gost-sm-umotsba-psm-759-044-2191972/?ysclid=lrad3eadg2536433745" TargetMode="External"/><Relationship Id="rId55" Type="http://schemas.openxmlformats.org/officeDocument/2006/relationships/hyperlink" Target="https://opensea.ru/compressor-a25067.htm?ysclid=lozru3t0d0163429978" TargetMode="External"/><Relationship Id="rId56" Type="http://schemas.openxmlformats.org/officeDocument/2006/relationships/hyperlink" Target="https://stardive.ru/shop/detailed_layout/id/1094" TargetMode="External"/><Relationship Id="rId57" Type="http://schemas.openxmlformats.org/officeDocument/2006/relationships/hyperlink" Target="https://shop-compressor.ru/shop/detailed_layout/id/2088" TargetMode="External"/><Relationship Id="rId58" Type="http://schemas.openxmlformats.org/officeDocument/2006/relationships/hyperlink" Target="https://shop-compressor.ru/shop/detailed_layout/id/2088" TargetMode="External"/><Relationship Id="rId59" Type="http://schemas.openxmlformats.org/officeDocument/2006/relationships/hyperlink" Target="https://opensea.ru/compressor-a25067.htm?ysclid=lozru3t0d0163429978" TargetMode="External"/><Relationship Id="rId60" Type="http://schemas.openxmlformats.org/officeDocument/2006/relationships/hyperlink" Target="https://stardive.ru/shop/detailed_layout/id/1094" TargetMode="External"/><Relationship Id="rId61" Type="http://schemas.openxmlformats.org/officeDocument/2006/relationships/hyperlink" Target="https://scuba-shop.ru/shop/tov/2000/kartridzh-fil-tra-bauer-p41-co-067224.html" TargetMode="External"/><Relationship Id="rId62" Type="http://schemas.openxmlformats.org/officeDocument/2006/relationships/hyperlink" Target="https://shop-compressor.ru/shop/detailed_layout/id/2087" TargetMode="External"/><Relationship Id="rId63" Type="http://schemas.openxmlformats.org/officeDocument/2006/relationships/hyperlink" Target="https://stardive.ru/shop/detailed_layout/id/1093" TargetMode="External"/><Relationship Id="rId64" Type="http://schemas.openxmlformats.org/officeDocument/2006/relationships/hyperlink" Target="https://scuba-shop.ru/shop/tov/2000/kartridzh-fil-tra-bauer-p41-co-067224.html" TargetMode="External"/><Relationship Id="rId65" Type="http://schemas.openxmlformats.org/officeDocument/2006/relationships/hyperlink" Target="https://shop-compressor.ru/shop/detailed_layout/id/2087" TargetMode="External"/><Relationship Id="rId66" Type="http://schemas.openxmlformats.org/officeDocument/2006/relationships/hyperlink" Target="https://stardive.ru/shop/detailed_layout/id/1093" TargetMode="External"/><Relationship Id="rId67" Type="http://schemas.openxmlformats.org/officeDocument/2006/relationships/hyperlink" Target="https://www.etm.ru/cat/nn/9413754" TargetMode="External"/><Relationship Id="rId68" Type="http://schemas.openxmlformats.org/officeDocument/2006/relationships/hyperlink" Target="https://www.bigms.ru/catalog/product/mufta_soedinitelnaya_ravnoprokhodnaya_16_dlya_trub_iz_sshitogo_polietilena_tece_teceflex_latun_76601" TargetMode="External"/><Relationship Id="rId69" Type="http://schemas.openxmlformats.org/officeDocument/2006/relationships/hyperlink" Target="https://www.santexbaza.ru/truby-iz-sshitogo-polietilena-i-fitingi-uponor/fitingi-dlya-trub-iz-sshitogo-polietilena-pe-xa-uponor/mufta-soedinitelnaya-uponor/mufta-soedinitelnaya-16-uponor/?ysclid=lozsft4qsl564589963" TargetMode="External"/><Relationship Id="rId70" Type="http://schemas.openxmlformats.org/officeDocument/2006/relationships/hyperlink" Target="https://www.etm.ru/cat/nn/7034263" TargetMode="External"/><Relationship Id="rId71" Type="http://schemas.openxmlformats.org/officeDocument/2006/relationships/hyperlink" Target="https://www.vseinstrumenti.ru/product/ugolok-soedinitelnyj-16-mm-1-2-tsanga-shtutser-dlya-truboprovoda-zubr-51409-16-1-2-231878/" TargetMode="External"/><Relationship Id="rId72" Type="http://schemas.openxmlformats.org/officeDocument/2006/relationships/hyperlink" Target="https://exist.ru/Catalog/Goods/36/1025/AB70F01A" TargetMode="External"/><Relationship Id="rId73" Type="http://schemas.openxmlformats.org/officeDocument/2006/relationships/hyperlink" Target="http://www.tovarpost.ru/web/tovarpost.asp?action=tovpod&amp;elem=5966763" TargetMode="External"/><Relationship Id="rId74" Type="http://schemas.openxmlformats.org/officeDocument/2006/relationships/hyperlink" Target="https://www.elektro.ru/product/mufta_soedinitelnaya_stm-20_3_4_fortisflex_2/" TargetMode="External"/><Relationship Id="rId75" Type="http://schemas.openxmlformats.org/officeDocument/2006/relationships/hyperlink" Target="https://www.chipdip.ru/product0/8010128096" TargetMode="External"/><Relationship Id="rId76" Type="http://schemas.openxmlformats.org/officeDocument/2006/relationships/hyperlink" Target="https://www.etm.ru/cat/nn/6032007?city=77" TargetMode="External"/><Relationship Id="rId77" Type="http://schemas.openxmlformats.org/officeDocument/2006/relationships/hyperlink" Target="https://valtec.ru/catalog/sistemy_metallopolimernyh_i_polimernyh_truboprovodov/obzhimnye_fitingi/fiting_objimnoj_trojnik_s_perehodom_na_narujnuyu_rezbu_vtm333n.html" TargetMode="External"/><Relationship Id="rId78" Type="http://schemas.openxmlformats.org/officeDocument/2006/relationships/hyperlink" Target="https://tdsayany.ru/catalogue/show/troynik-obzhimnoy-s-perehodom-na-nar-r/" TargetMode="External"/><Relationship Id="rId79" Type="http://schemas.openxmlformats.org/officeDocument/2006/relationships/hyperlink" Target="https://www.bigam.ru/product/valtec-1083844/" TargetMode="External"/><Relationship Id="rId80" Type="http://schemas.openxmlformats.org/officeDocument/2006/relationships/hyperlink" Target="https://fwater.ru/catalog/fitingi_dlya_trub/fitingi_obzhimnye_dlya_trub_metalloplastikovykh_/valtec_3/troynik_s_perekhodom_na_naruzhnuyu_rezbu_20_mm_kh_1_2_valtec/" TargetMode="External"/><Relationship Id="rId81" Type="http://schemas.openxmlformats.org/officeDocument/2006/relationships/hyperlink" Target="https://www.termokit.ru/product/fiting_obzhimnoy_troynik_s_perekhodom_na_naruzhnuyu_rezbu_valtec_20_x_1_2.htm" TargetMode="External"/><Relationship Id="rId82" Type="http://schemas.openxmlformats.org/officeDocument/2006/relationships/hyperlink" Target="https://aksis63.ru/catalog/metalloplastikovye_truby_i_fitingi/vtm_333_troynik_obzhimnoy_s_perekhodom_na_naruzhnuyu_rezbu_20_1_2_20_ts_nar_ts/" TargetMode="External"/><Relationship Id="rId83" Type="http://schemas.openxmlformats.org/officeDocument/2006/relationships/hyperlink" Target="https://www.tim-ru.ru/products/349526399-press_fiting_ugolok_nikelirovanny_20_20_f_l2020n" TargetMode="External"/><Relationship Id="rId84" Type="http://schemas.openxmlformats.org/officeDocument/2006/relationships/hyperlink" Target="https://www.vseinstrumenti.ru/product/ugolok-aqualink-perehodnoj-1-2x3-4-vn-vn-tsena-za-upakovku-10-sht-art-2560-1746361/" TargetMode="External"/><Relationship Id="rId85" Type="http://schemas.openxmlformats.org/officeDocument/2006/relationships/hyperlink" Target="https://dn.ru/polietilenovye-truby-i-fitingi/ugolki/rtp/ugolok-axi-vr/dn20-1-2" TargetMode="External"/><Relationship Id="rId86" Type="http://schemas.openxmlformats.org/officeDocument/2006/relationships/hyperlink" Target="https://tim-com.ru/katalog-tim/press-fiting-ugolok-c320---1-2-vnutrennyaya-c320-mm" TargetMode="External"/><Relationship Id="rId87" Type="http://schemas.openxmlformats.org/officeDocument/2006/relationships/hyperlink" Target="https://promportal.su/goods/44188258/press-fiting-ugolok-nikelirovanniy-20-20-f-l2020n.htm" TargetMode="External"/><Relationship Id="rId88" Type="http://schemas.openxmlformats.org/officeDocument/2006/relationships/hyperlink" Target="https://tim-rif.ru/products/press-fiting-ugolok-nikelirovannyj-f-20x20-tim-f-l2020n" TargetMode="External"/><Relationship Id="rId89" Type="http://schemas.openxmlformats.org/officeDocument/2006/relationships/hyperlink" Target="https://novorossiysk.vseinstrumenti.ru/product/podshipnik-cnic-uzel-ucp308-podshipnik-uc308-v-arochnom-korpuse-65231-2042508/" TargetMode="External"/><Relationship Id="rId90" Type="http://schemas.openxmlformats.org/officeDocument/2006/relationships/hyperlink" Target="https://new.optorg.ru/catalog/avtozapchasti/industrialnye_podshipniki/podshipniki/238505/" TargetMode="External"/><Relationship Id="rId91" Type="http://schemas.openxmlformats.org/officeDocument/2006/relationships/hyperlink" Target="https://bearingstore.ru/catalog/podshipniki_podshipnikovye_uzly_i_detali/podshipnikovye_uzly_korpusa_i_komplektuyushchie/podshipnikovye_uzly_i_komplektuyushchie_osnovnogo_primeneniya/72074/?ysclid=lnn5dbbf7v216585646" TargetMode="External"/><Relationship Id="rId92" Type="http://schemas.openxmlformats.org/officeDocument/2006/relationships/hyperlink" Target="https://fetparts.ru/products/AQUALINK/02358.html" TargetMode="External"/><Relationship Id="rId93" Type="http://schemas.openxmlformats.org/officeDocument/2006/relationships/hyperlink" Target="https://goodmag.ru/product/aqualine-podvodka-gibkaya-dlya-vody-s-nak-gaykoy-latun-v-stalnoy-opletke-1-2-400-sm-vn-nar-2358/" TargetMode="External"/><Relationship Id="rId94" Type="http://schemas.openxmlformats.org/officeDocument/2006/relationships/hyperlink" Target="https://arsenal007.ru/catalog/khoztovary/santekhnika/podvodka/aqualine-podvodka-gibkaya-dlya-vodyi-s-nak-gaykoy-latun-v-stalnoy-opletke-1-2-400-sm--vn-nar-2358-art-719297/" TargetMode="External"/><Relationship Id="rId95" Type="http://schemas.openxmlformats.org/officeDocument/2006/relationships/hyperlink" Target="https://www.kraska-ekb.ru/goods/81268106-grunt_emal_antikorroziynaya_dv_106" TargetMode="External"/><Relationship Id="rId96" Type="http://schemas.openxmlformats.org/officeDocument/2006/relationships/hyperlink" Target="https://bizorg.su/grunt-emal-r/p27961380-gruntemal-po-rzhavchine-dv106-tsveto" TargetMode="External"/><Relationship Id="rId97" Type="http://schemas.openxmlformats.org/officeDocument/2006/relationships/hyperlink" Target="https://krasnodar.pulscen.ru/products/grunt_emal_antikorroziynaya_dv_106_81268106" TargetMode="External"/><Relationship Id="rId98" Type="http://schemas.openxmlformats.org/officeDocument/2006/relationships/hyperlink" Target="https://bizorg.su/grunt-emal-r/p27961380-gruntemal-po-rzhavchine-dv106-tsveto" TargetMode="External"/><Relationship Id="rId99" Type="http://schemas.openxmlformats.org/officeDocument/2006/relationships/hyperlink" Target="https://www.kraska-ekb.ru/goods/81268106-grunt_emal_antikorroziynaya_dv_106" TargetMode="External"/><Relationship Id="rId100" Type="http://schemas.openxmlformats.org/officeDocument/2006/relationships/hyperlink" Target="https://krasnodar.pulscen.ru/products/grunt_emal_antikorroziynaya_dv_106_81268106" TargetMode="External"/><Relationship Id="rId101" Type="http://schemas.openxmlformats.org/officeDocument/2006/relationships/hyperlink" Target="https://www.kraska-ekb.ru/goods/81268106-grunt_emal_antikorroziynaya_dv_106" TargetMode="External"/><Relationship Id="rId102" Type="http://schemas.openxmlformats.org/officeDocument/2006/relationships/hyperlink" Target="https://bizorg.su/grunt-emal-r/p27961380-gruntemal-po-rzhavchine-dv106-tsveto" TargetMode="External"/><Relationship Id="rId103" Type="http://schemas.openxmlformats.org/officeDocument/2006/relationships/hyperlink" Target="https://krasnodar.pulscen.ru/products/grunt_emal_antikorroziynaya_dv_106_81268106" TargetMode="External"/><Relationship Id="rId104" Type="http://schemas.openxmlformats.org/officeDocument/2006/relationships/hyperlink" Target="https://bizorg.su/grunt-emal-r/p27961380-gruntemal-po-rzhavchine-dv106-tsveto" TargetMode="External"/><Relationship Id="rId105" Type="http://schemas.openxmlformats.org/officeDocument/2006/relationships/hyperlink" Target="https://www.kraska-ekb.ru/goods/81268106-grunt_emal_antikorroziynaya_dv_106" TargetMode="External"/><Relationship Id="rId106" Type="http://schemas.openxmlformats.org/officeDocument/2006/relationships/hyperlink" Target="https://krasnodar.pulscen.ru/products/grunt_emal_antikorroziynaya_dv_106_81268106" TargetMode="External"/><Relationship Id="rId107" Type="http://schemas.openxmlformats.org/officeDocument/2006/relationships/hyperlink" Target="https://4mycar.ru/parts/Sakura/EF51040" TargetMode="External"/><Relationship Id="rId108" Type="http://schemas.openxmlformats.org/officeDocument/2006/relationships/hyperlink" Target="https://stalfilters.ru/filtr-toplivnyy-st20908-150-1r0793-26560163-ef51040-1r1803/?ysclid=lrak10zrwq777187621" TargetMode="External"/><Relationship Id="rId109" Type="http://schemas.openxmlformats.org/officeDocument/2006/relationships/hyperlink" Target="https://stal.market/filtr-toplivnyy-st20908-150-1r0793-26560163-ef51040-1r1803/?ysclid=lrajwv9zs3971250078" TargetMode="External"/><Relationship Id="rId110" Type="http://schemas.openxmlformats.org/officeDocument/2006/relationships/hyperlink" Target="https://mts124.ru/product/filtr-toplivnyy-st20908-1-50-1r0793-26560163-ef51040-1r1803-58172/" TargetMode="External"/><Relationship Id="rId111" Type="http://schemas.openxmlformats.org/officeDocument/2006/relationships/hyperlink" Target="https://promintel.com/products/ff167a-filtr-kartridzh-toplivnyy-fleetguard?ysclid=lrakl1m7ml123791948" TargetMode="External"/><Relationship Id="rId112" Type="http://schemas.openxmlformats.org/officeDocument/2006/relationships/hyperlink" Target="https://euroauto.ru/firms/fleetguard/ff167a/?ysclid=lrakia4gtm380241399" TargetMode="External"/><Relationship Id="rId113" Type="http://schemas.openxmlformats.org/officeDocument/2006/relationships/hyperlink" Target="https://maslomarket.com/catalog/filters/the-fuel-filters/filtr-toplivnyy-fleetguard-ff167a/?ysclid=lrakdq5vt6532307090" TargetMode="External"/><Relationship Id="rId114" Type="http://schemas.openxmlformats.org/officeDocument/2006/relationships/hyperlink" Target="https://gik43.ru/filtr-toplivnyy-goodwill-fg1050eco-605013-ef-5102-26560201-sk3380" TargetMode="External"/><Relationship Id="rId115" Type="http://schemas.openxmlformats.org/officeDocument/2006/relationships/hyperlink" Target="https://baza.drom.ru/krasnoyarsk/sell_spare_parts/filtr-toplivnyj-fg1050eco-fg1050eco-g13022100678.html" TargetMode="External"/><Relationship Id="rId116" Type="http://schemas.openxmlformats.org/officeDocument/2006/relationships/hyperlink" Target="https://impart.online/catalog/fg1050eco-filtr-toplivnyy-goodwill-1qqxv1d/?ysclid=lral5t13gt289495644" TargetMode="External"/><Relationship Id="rId117" Type="http://schemas.openxmlformats.org/officeDocument/2006/relationships/hyperlink" Target="https://gik43.ru/filtr-toplivnyy-goodwill-fg1050eco-605013-ef-5102-26560201-sk3380" TargetMode="External"/><Relationship Id="rId118" Type="http://schemas.openxmlformats.org/officeDocument/2006/relationships/hyperlink" Target="https://ugk174.ru/catalog/filtry/filtr_toplivnyj_goodwill_fg1050eco_605013_ef_5102_26560201_sk3380/?ysclid=lrakro7vk4945263656" TargetMode="External"/><Relationship Id="rId119" Type="http://schemas.openxmlformats.org/officeDocument/2006/relationships/hyperlink" Target="https://rs24.ru/product/2313919" TargetMode="External"/><Relationship Id="rId120" Type="http://schemas.openxmlformats.org/officeDocument/2006/relationships/hyperlink" Target="https://www.chipdip.ru/product0/8007133241" TargetMode="External"/><Relationship Id="rId121" Type="http://schemas.openxmlformats.org/officeDocument/2006/relationships/hyperlink" Target="https://dc-electro.ru/catalog/products/vyklyuchatel-avtomaticheskiy-modulnyy-3p-d-40a-c60n-sche-m9f12340/" TargetMode="External"/><Relationship Id="rId122" Type="http://schemas.openxmlformats.org/officeDocument/2006/relationships/hyperlink" Target="https://autopiter.ru/goods/614500/sintec/id53355745" TargetMode="External"/><Relationship Id="rId123" Type="http://schemas.openxmlformats.org/officeDocument/2006/relationships/hyperlink" Target="https://megamarket.ru/catalog/details/antifriz-sintec-krasno-oranzhevyy-gotovyy-antifriz-5kg-614500-100022894432/otzyvy/" TargetMode="External"/><Relationship Id="rId124" Type="http://schemas.openxmlformats.org/officeDocument/2006/relationships/hyperlink" Target="https://avtospectr.com/market/sintec-antifriz-lux-g12-krasnyj-01l/" TargetMode="External"/><Relationship Id="rId125" Type="http://schemas.openxmlformats.org/officeDocument/2006/relationships/hyperlink" Target="https://megamarket.ru/catalog/details/antifriz-sintec-krasno-oranzhevyy-gotovyy-antifriz-10kg-756665-100022894461/?ysclid=lramk3bn9y757071591" TargetMode="External"/><Relationship Id="rId126" Type="http://schemas.openxmlformats.org/officeDocument/2006/relationships/hyperlink" Target="https://www.wildberries.ru/catalog/102878995/detail.aspx" TargetMode="External"/><Relationship Id="rId127" Type="http://schemas.openxmlformats.org/officeDocument/2006/relationships/hyperlink" Target="https://optorg.ru/catalog/avtomobilnye_tovary_shiny/avtohimiya/antifrizy_tosoly/161247/" TargetMode="External"/><Relationship Id="rId128" Type="http://schemas.openxmlformats.org/officeDocument/2006/relationships/hyperlink" Target="https://www.manometer-spb.ru/catalog/manometry/tekhnicheskie/3078/" TargetMode="External"/><Relationship Id="rId129" Type="http://schemas.openxmlformats.org/officeDocument/2006/relationships/hyperlink" Target="https://manometry.ru/mp3-uf" TargetMode="External"/><Relationship Id="rId130" Type="http://schemas.openxmlformats.org/officeDocument/2006/relationships/hyperlink" Target="https://mera-tek.ru/catalog/manometry/mp3-uf-1-mpa-kl-1-5-m20kh1-5/" TargetMode="External"/><Relationship Id="rId131" Type="http://schemas.openxmlformats.org/officeDocument/2006/relationships/hyperlink" Target="https://tdatm.ru/catalog/kontrolno_izmeritelnye_pribory_kipia/sredstva_izmereniya_davleniya/manometry/manometr_mp3_uf_0_16_mpa_kt_1_5_d_100_ip40_m20_1_5_rsh.html?ysclid=lrehxw9wvk944054918" TargetMode="External"/><Relationship Id="rId132" Type="http://schemas.openxmlformats.org/officeDocument/2006/relationships/hyperlink" Target="https://www.rustenergo.ru/catalog/pribory-dlya-izmereniya-neelektricheskikh-velichin/manometry-tekhnicheskie/mp3-uf/mp3-uf-0-16-0-mpa-kl-t-1-5-manometr-/?ysclid=lramwgbykb590014002" TargetMode="External"/><Relationship Id="rId133" Type="http://schemas.openxmlformats.org/officeDocument/2006/relationships/hyperlink" Target="https://krasnodar.mera-tek.ru/catalog/manometry/mp3-uf-16-kgs-sm2-kl-1-5-m20kh1-5/?ysclid=lrei328o57511096383" TargetMode="External"/><Relationship Id="rId134" Type="http://schemas.openxmlformats.org/officeDocument/2006/relationships/hyperlink" Target="https://nevinnomisk.specarmatura.ru/catalog/manometry_tekhnicheskie_fiztekh/manometr_mp3_uf_0_1_6_atm_ip40_m20_1_5_rsh/" TargetMode="External"/><Relationship Id="rId135" Type="http://schemas.openxmlformats.org/officeDocument/2006/relationships/hyperlink" Target="https://sale-instrument.ru/product/manometr-fizteh-mp3-uf-isp-eko-0-1-6-mpa-kt-1-5-d-100-ip40-g1-2-rsh-1754923532.html" TargetMode="External"/><Relationship Id="rId136" Type="http://schemas.openxmlformats.org/officeDocument/2006/relationships/hyperlink" Target="https://kupi-kip.ru/product/manometr-tehnicheskij-fizteh-mp3-uf-v-ispolnenii-eko/" TargetMode="External"/><Relationship Id="rId137" Type="http://schemas.openxmlformats.org/officeDocument/2006/relationships/hyperlink" Target="https://www.kipa18.ru/goods/106412975-manometr_mp3_uf_0_1_6_mpa_kt_1_5_d_100_ip40_m20_1_5_rsh" TargetMode="External"/><Relationship Id="rId138" Type="http://schemas.openxmlformats.org/officeDocument/2006/relationships/hyperlink" Target="https://intersens.ru/product/manometer-mp3-uf-isp-eko-0-1-6-mpa-kt-1-5-d-100-ip40-m20-1-5-rsh/?ysclid=lrej33wn3b834774274" TargetMode="External"/><Relationship Id="rId139" Type="http://schemas.openxmlformats.org/officeDocument/2006/relationships/hyperlink" Target="https://tdatm.ru/catalog/kontrolno_izmeritelnye_pribory_kipia/sredstva_izmereniya_davleniya/manometry/manometr_mp3_uf_isp_eko_0_1_6_mpa_kt_1_5_d_100_ip40_m20_1_5_rsh_gp.html" TargetMode="External"/><Relationship Id="rId140" Type="http://schemas.openxmlformats.org/officeDocument/2006/relationships/hyperlink" Target="https://vsemanometri.ru/catalog/ekonom_variant/manometry_tekhnicheskie_mp3_uf_eko/" TargetMode="External"/><Relationship Id="rId141" Type="http://schemas.openxmlformats.org/officeDocument/2006/relationships/hyperlink" Target="https://www.manometer-spb.ru/catalog/manometry/tekhnicheskie/2770/" TargetMode="External"/><Relationship Id="rId142" Type="http://schemas.openxmlformats.org/officeDocument/2006/relationships/hyperlink" Target="https://lab-oborudovanie.ru/catalog/manometrt-mp3-u-eko-0-2-5-mpa/" TargetMode="External"/><Relationship Id="rId143" Type="http://schemas.openxmlformats.org/officeDocument/2006/relationships/hyperlink" Target="https://pritok.info/shop/goods/manometr-mp3-uf-isp-eko-0-25-mpa-rsh--kt15---d100---IP40---m20-15--1098198185?ysclid=lrejleyr5d630555802" TargetMode="External"/><Relationship Id="rId144" Type="http://schemas.openxmlformats.org/officeDocument/2006/relationships/hyperlink" Target="https://tdatm.ru/catalog/kontrolno_izmeritelnye_pribory_kipia/sredstva_izmereniya_davleniya/manometry/manometr_mp3_uf_isp_eko_0_2_5_mpa_kt_1_5_d_100_ip40_m20_1_5_rsh.html" TargetMode="External"/><Relationship Id="rId145" Type="http://schemas.openxmlformats.org/officeDocument/2006/relationships/hyperlink" Target="https://tdatm.ru/catalog/kontrolno_izmeritelnye_pribory_kipia/sredstva_izmereniya_davleniya/manometry/manometr_mp3_uf_isp_eko_0_1_mpa_kt_1_5_d_100_ip40_g1_2_rsh.html" TargetMode="External"/><Relationship Id="rId146" Type="http://schemas.openxmlformats.org/officeDocument/2006/relationships/hyperlink" Target="https://vsemanometri.ru/catalog/ekonom_variant/manometry_tekhnicheskie_mp3_uf_eko/" TargetMode="External"/><Relationship Id="rId147" Type="http://schemas.openxmlformats.org/officeDocument/2006/relationships/hyperlink" Target="https://www.manometer-spb.ru/catalog/manometry/tekhnicheskie/2766/" TargetMode="External"/><Relationship Id="rId148" Type="http://schemas.openxmlformats.org/officeDocument/2006/relationships/hyperlink" Target="https://afkmarket.ru/catalog/pribory-ucheta-i-kipia/manometry/30964/" TargetMode="External"/><Relationship Id="rId149" Type="http://schemas.openxmlformats.org/officeDocument/2006/relationships/hyperlink" Target="https://lab-oborudovanie.ru/catalog/manometrt-mp3-uf-eko-0-4-mpa/" TargetMode="External"/><Relationship Id="rId150" Type="http://schemas.openxmlformats.org/officeDocument/2006/relationships/hyperlink" Target="https://www.manometer-spb.ru/catalog/manometry/tekhnicheskie/2771/" TargetMode="External"/><Relationship Id="rId151" Type="http://schemas.openxmlformats.org/officeDocument/2006/relationships/hyperlink" Target="https://lab-oborudovanie.ru/catalog/manometrt-mp3-uf-eko-0-1-6-mpa/" TargetMode="External"/><Relationship Id="rId152" Type="http://schemas.openxmlformats.org/officeDocument/2006/relationships/hyperlink" Target="https://www.manometer-spb.ru/catalog/manometry/tekhnicheskie/2775/" TargetMode="External"/><Relationship Id="rId153" Type="http://schemas.openxmlformats.org/officeDocument/2006/relationships/hyperlink" Target="https://vsemanometri.ru/catalog/ekonom_variant/manometry_tekhnicheskie_mp3_uf_eko/" TargetMode="External"/><Relationship Id="rId154" Type="http://schemas.openxmlformats.org/officeDocument/2006/relationships/hyperlink" Target="https://lab-oborudovanie.ru/catalog/manometrt-mp3-uf-eko-0-6-mpa/" TargetMode="External"/><Relationship Id="rId155" Type="http://schemas.openxmlformats.org/officeDocument/2006/relationships/hyperlink" Target="https://www.manometer-spb.ru/catalog/manometry/tekhnicheskie/2772/" TargetMode="External"/><Relationship Id="rId156" Type="http://schemas.openxmlformats.org/officeDocument/2006/relationships/hyperlink" Target="https://lab-oborudovanie.ru/catalog/manometrt-mp3-uf-eko-0-6-mpa/" TargetMode="External"/><Relationship Id="rId157" Type="http://schemas.openxmlformats.org/officeDocument/2006/relationships/hyperlink" Target="https://manometry.ru/tm-320r" TargetMode="External"/><Relationship Id="rId158" Type="http://schemas.openxmlformats.org/officeDocument/2006/relationships/hyperlink" Target="https://manocentr.ru/category/manometry/vibroustojchivye-manometry/vibroustojchivyj-manometr-tm-320r/" TargetMode="External"/><Relationship Id="rId159" Type="http://schemas.openxmlformats.org/officeDocument/2006/relationships/hyperlink" Target="https://ingenerseti.ru/product/manometr_tm_320r_00_0_2_5_mra_m12_1_5_zapolnenie_silikon_radialnyy_rosma/" TargetMode="External"/><Relationship Id="rId160" Type="http://schemas.openxmlformats.org/officeDocument/2006/relationships/hyperlink" Target="https://manometr-rsc.ru/catalog/tm-320-0-2-5mpa-g-1-4-1-5/?ysclid=lrely9ti1g727016875" TargetMode="External"/><Relationship Id="rId161" Type="http://schemas.openxmlformats.org/officeDocument/2006/relationships/hyperlink" Target="https://dn.ru/kipia/manometry/radialnyi/rosma/tm-320r-do-10mpa/0-2-5mpa-m12-1-5?ysclid=lreludfknv105936068" TargetMode="External"/><Relationship Id="rId162" Type="http://schemas.openxmlformats.org/officeDocument/2006/relationships/hyperlink" Target="https://krasnodar.mera-tek.ru/catalog/manometry/tm-320r-00-0-0-25-mpa-m12kh1-5-1-5/?ysclid=lreltze8nn744889761" TargetMode="External"/><Relationship Id="rId163" Type="http://schemas.openxmlformats.org/officeDocument/2006/relationships/hyperlink" Target="https://www.fiztech.ru/catalog/manometry/693/" TargetMode="External"/><Relationship Id="rId164" Type="http://schemas.openxmlformats.org/officeDocument/2006/relationships/hyperlink" Target="https://afkmarket.ru/catalog/pribory-ucheta-i-kipia/manometry/29576/" TargetMode="External"/><Relationship Id="rId165" Type="http://schemas.openxmlformats.org/officeDocument/2006/relationships/hyperlink" Target="https://lab-oborudovanie.ru/catalog/manometr-dm2010-isp-5-0-10-mpa/" TargetMode="External"/><Relationship Id="rId166" Type="http://schemas.openxmlformats.org/officeDocument/2006/relationships/hyperlink" Target="https://afkmarket.ru/catalog/pribory-ucheta-i-kipia/manometry/29589/" TargetMode="External"/><Relationship Id="rId167" Type="http://schemas.openxmlformats.org/officeDocument/2006/relationships/hyperlink" Target="https://msk.specarmatura.ru/catalog/manometry_elektrokontaktnye_fiztekh/manometr_dm2010f_isp_v_0_10_0_atm_ip40_m20kh1_5_rsh/" TargetMode="External"/><Relationship Id="rId168" Type="http://schemas.openxmlformats.org/officeDocument/2006/relationships/hyperlink" Target="https://lab-oborudovanie.ru/catalog/manometr-dm2010-isp-5-0-1-mpa/" TargetMode="External"/><Relationship Id="rId169" Type="http://schemas.openxmlformats.org/officeDocument/2006/relationships/hyperlink" Target="https://nevinnomisk.specarmatura.ru/catalog/manometry_elektrokontaktnye_fiztekh/manometr_dm2010f_isp_v_0_10_0_atm_ip40_m20kh1_5_rsh/" TargetMode="External"/><Relationship Id="rId170" Type="http://schemas.openxmlformats.org/officeDocument/2006/relationships/hyperlink" Target="https://afkmarket.ru/catalog/pribory-ucheta-i-kipia/manometry/29576/" TargetMode="External"/><Relationship Id="rId171" Type="http://schemas.openxmlformats.org/officeDocument/2006/relationships/hyperlink" Target="https://www.manometer-spb.ru/catalog/manometry/elektrokontaktnye_ekm/6686/" TargetMode="External"/><Relationship Id="rId172" Type="http://schemas.openxmlformats.org/officeDocument/2006/relationships/hyperlink" Target="https://afkmarket.ru/catalog/pribory-ucheta-i-kipia/manometry/29594/" TargetMode="External"/><Relationship Id="rId173" Type="http://schemas.openxmlformats.org/officeDocument/2006/relationships/hyperlink" Target="https://msk.specarmatura.ru/catalog/manometry_elektrokontaktnye_fiztekh/manometr_dm2010f_isp_v_0_100_0_atm_ip40_m20kh1_5_rsh/" TargetMode="External"/><Relationship Id="rId174" Type="http://schemas.openxmlformats.org/officeDocument/2006/relationships/hyperlink" Target="https://lab-oborudovanie.ru/catalog/manometr-dm2010-isp-5-0-10-mpa/" TargetMode="External"/><Relationship Id="rId175" Type="http://schemas.openxmlformats.org/officeDocument/2006/relationships/hyperlink" Target="https://nevinnomisk.specarmatura.ru/catalog/manometry_elektrokontaktnye_fiztekh/manometr_dm2010f_isp_v_0_1_6_atm_ip40_m20kh1_5_rsh/" TargetMode="External"/><Relationship Id="rId176" Type="http://schemas.openxmlformats.org/officeDocument/2006/relationships/hyperlink" Target="https://pro-com.ru/catalog/instrument_i_sredstva_zashchity/instrument_pnevmaticheskiy_/prinadlezhnosti_dlya_pnevmoinstrumenta_/manometry/manometr_dm2010f_isp_v_0_16_mpa_kt_1_5_d_100_ip40_m20_1_5_rsh/" TargetMode="External"/><Relationship Id="rId177" Type="http://schemas.openxmlformats.org/officeDocument/2006/relationships/hyperlink" Target="https://manometry.ru/dm2010f" TargetMode="External"/><Relationship Id="rId178" Type="http://schemas.openxmlformats.org/officeDocument/2006/relationships/hyperlink" Target="https://afkmarket.ru/catalog/pribory-ucheta-i-kipia/manometry/29598/" TargetMode="External"/><Relationship Id="rId179" Type="http://schemas.openxmlformats.org/officeDocument/2006/relationships/hyperlink" Target="https://msk.specarmatura.ru/catalog/manometry_elektrokontaktnye_fiztekh/manometr_dm2010f_isp_v_0_1_6_atm_ip40_m20kh1_5_rsh/" TargetMode="External"/><Relationship Id="rId180" Type="http://schemas.openxmlformats.org/officeDocument/2006/relationships/hyperlink" Target="https://lab-oborudovanie.ru/catalog/manometr-dm2010-isp-5-0-16-mpa/" TargetMode="External"/><Relationship Id="rId181" Type="http://schemas.openxmlformats.org/officeDocument/2006/relationships/hyperlink" Target="https://nevinnomisk.specarmatura.ru/catalog/manometry_elektrokontaktnye_fiztekh/manometr_dm2010f_isp_v_0_1_6_atm_ip40_m20kh1_5_rsh/" TargetMode="External"/><Relationship Id="rId182" Type="http://schemas.openxmlformats.org/officeDocument/2006/relationships/hyperlink" Target="https://mera-tek.ru/catalog/manometry/dm2010f-1-6-mpa-kl-1-5-isp-v-bez-flantsa/" TargetMode="External"/><Relationship Id="rId183" Type="http://schemas.openxmlformats.org/officeDocument/2006/relationships/hyperlink" Target="https://afkmarket.ru/catalog/pribory-ucheta-i-kipia/manometry/112560/" TargetMode="External"/><Relationship Id="rId184" Type="http://schemas.openxmlformats.org/officeDocument/2006/relationships/hyperlink" Target="https://tdatm.ru/catalog/kontrolno_izmeritelnye_pribory_kipia/sredstva_izmereniya_davleniya/manometry/manometr_dm2010f_isp_v_0_160_kpa_kt_1_5_d_100_ip40_m20_1_5_rsh.html" TargetMode="External"/><Relationship Id="rId185" Type="http://schemas.openxmlformats.org/officeDocument/2006/relationships/hyperlink" Target="https://lab-oborudovanie.ru/catalog/manometr-dm2010-isp-5-0-0-16-mpa/" TargetMode="External"/><Relationship Id="rId186" Type="http://schemas.openxmlformats.org/officeDocument/2006/relationships/hyperlink" Target="https://manometry.ru/dm2010f" TargetMode="External"/><Relationship Id="rId187" Type="http://schemas.openxmlformats.org/officeDocument/2006/relationships/hyperlink" Target="http://www.spec-arm.ru/goods/230265912-manometr_elektrokontaktny_dm2010f_isp_v_0_4_0_mpa_kt_1_5_d100_ip40_m20kh1_5_rsh" TargetMode="External"/><Relationship Id="rId188" Type="http://schemas.openxmlformats.org/officeDocument/2006/relationships/hyperlink" Target="https://nevinnomisk.specarmatura.ru/catalog/manometry_elektrokontaktnye_fiztekh/manometr_dm2010f_isp_v_0_40_0_atm_ip40_m20kh1_5_rsh/" TargetMode="External"/><Relationship Id="rId189" Type="http://schemas.openxmlformats.org/officeDocument/2006/relationships/hyperlink" Target="https://afkmarket.ru/catalog/pribory-ucheta-i-kipia/manometry/29621/" TargetMode="External"/><Relationship Id="rId190" Type="http://schemas.openxmlformats.org/officeDocument/2006/relationships/hyperlink" Target="https://tdatm.ru/catalog/kontrolno_izmeritelnye_pribory_kipia/sredstva_izmereniya_davleniya/manometry/manometr_dm2010f_isp_v_0_4_kgs_sm2_kt_1_5_d_100_ip40_m20_1_5_rsh_fl.html" TargetMode="External"/><Relationship Id="rId191" Type="http://schemas.openxmlformats.org/officeDocument/2006/relationships/hyperlink" Target="https://msk.specarmatura.ru/catalog/manometry_elektrokontaktnye_fiztekh/manometr_dm2010f_isp_v_0_4_0_atm_ip40_m20kh1_5_rsh/" TargetMode="External"/><Relationship Id="rId192" Type="http://schemas.openxmlformats.org/officeDocument/2006/relationships/hyperlink" Target="https://manometry.ru/dm2010f" TargetMode="External"/><Relationship Id="rId193" Type="http://schemas.openxmlformats.org/officeDocument/2006/relationships/hyperlink" Target="https://tdatm.ru/catalog/kontrolno_izmeritelnye_pribory_kipia/sredstva_izmereniya_davleniya/manometry/manometr_dm2010f_isp_v_0_1_mpa_kt_1_5_d_100_ip40_m20_1_5_rsh.html" TargetMode="External"/><Relationship Id="rId194" Type="http://schemas.openxmlformats.org/officeDocument/2006/relationships/hyperlink" Target="https://kupi-kip.ru/product/manometry-elektrokontaktnye-fizteh-dm2010f/" TargetMode="External"/><Relationship Id="rId195" Type="http://schemas.openxmlformats.org/officeDocument/2006/relationships/hyperlink" Target="https://afkmarket.ru/catalog/pribory-ucheta-i-kipia/manometry/29625/" TargetMode="External"/><Relationship Id="rId196" Type="http://schemas.openxmlformats.org/officeDocument/2006/relationships/hyperlink" Target="https://pritok.info/shop/goods/manometr-dm2010f-isp-V-0-40-mpa-rsh--kt15---d100---IP40---M20-15--1098119641?ysclid=lreo52mh8s737141788" TargetMode="External"/><Relationship Id="rId197" Type="http://schemas.openxmlformats.org/officeDocument/2006/relationships/hyperlink" Target="https://msk.specarmatura.ru/catalog/manometry_elektrokontaktnye_fiztekh/manometr_dm2010f_isp_v_0_40_0_atm_ip40_m20kh1_5_rsh/" TargetMode="External"/><Relationship Id="rId198" Type="http://schemas.openxmlformats.org/officeDocument/2006/relationships/hyperlink" Target="https://nevinnomisk.specarmatura.ru/catalog/manometry_elektrokontaktnye_fiztekh/manometr_dm2010f_isp_v_0_6_0_atm_ip40_m20kh1_5_rsh/" TargetMode="External"/><Relationship Id="rId199" Type="http://schemas.openxmlformats.org/officeDocument/2006/relationships/hyperlink" Target="https://www.manometer-spb.ru/catalog/manometry/elektrokontaktnye_ekm/6690/" TargetMode="External"/><Relationship Id="rId200" Type="http://schemas.openxmlformats.org/officeDocument/2006/relationships/hyperlink" Target="https://manometry.ru/dm2010f" TargetMode="External"/><Relationship Id="rId201" Type="http://schemas.openxmlformats.org/officeDocument/2006/relationships/hyperlink" Target="https://pritok.info/shop/goods/manometr-dm2010f-isp-V-0-06-mpa-kt15-d100-IP40-M20-15-rsh-1098190449" TargetMode="External"/><Relationship Id="rId202" Type="http://schemas.openxmlformats.org/officeDocument/2006/relationships/hyperlink" Target="https://afkmarket.ru/catalog/pribory-ucheta-i-kipia/manometry/29634/" TargetMode="External"/><Relationship Id="rId203" Type="http://schemas.openxmlformats.org/officeDocument/2006/relationships/hyperlink" Target="https://msk.specarmatura.ru/catalog/manometry_elektrokontaktnye_fiztekh/manometr_dm2010f_isp_v_0_6_0_atm_ip40_m20kh1_5_rsh/" TargetMode="External"/><Relationship Id="rId204" Type="http://schemas.openxmlformats.org/officeDocument/2006/relationships/hyperlink" Target="https://lab-oborudovanie.ru/catalog/manometr-dm2010-isp-5-0-60-mpa/" TargetMode="External"/><Relationship Id="rId205" Type="http://schemas.openxmlformats.org/officeDocument/2006/relationships/hyperlink" Target="https://www.fiztech.ru/catalog/manometry/693/" TargetMode="External"/><Relationship Id="rId206" Type="http://schemas.openxmlformats.org/officeDocument/2006/relationships/hyperlink" Target="https://www.manometer-spb.ru/catalog/manometry/elektrokontaktnye_ekm/6690/" TargetMode="External"/><Relationship Id="rId207" Type="http://schemas.openxmlformats.org/officeDocument/2006/relationships/hyperlink" Target="https://msk.specarmatura.ru/catalog/manometry_elektrokontaktnye_fiztekh/manometr_dm2010f_isp_v_0_60_0_atm_ip40_m20kh1_5_rsh/" TargetMode="External"/><Relationship Id="rId208" Type="http://schemas.openxmlformats.org/officeDocument/2006/relationships/hyperlink" Target="https://afkmarket.ru/catalog/pribory-ucheta-i-kipia/manometry/29637/" TargetMode="External"/><Relationship Id="rId209" Type="http://schemas.openxmlformats.org/officeDocument/2006/relationships/hyperlink" Target="https://lab-oborudovanie.ru/catalog/manometr-dm2010-isp-5-0-6-mpa/" TargetMode="External"/><Relationship Id="rId210" Type="http://schemas.openxmlformats.org/officeDocument/2006/relationships/hyperlink" Target="https://knopka.org/catalog/kantselyarskie-tovary/pismennie-prinadlejnosti/markery/marker-kraska/marker-kraska_58073.html?ysclid=lnn3h6eba5631905189" TargetMode="External"/><Relationship Id="rId211" Type="http://schemas.openxmlformats.org/officeDocument/2006/relationships/hyperlink" Target="https://kancnika.ru/catalog/pis-mennye-prinadlezhnosti/markery-flomastery/markery-spetsial-nye/Marker-kraska-BLACK-chernyy-4mm.html?ysclid=lnn3j2e0nt688273093" TargetMode="External"/><Relationship Id="rId212" Type="http://schemas.openxmlformats.org/officeDocument/2006/relationships/hyperlink" Target="https://www.officemag.ru/catalog/goods/151481/" TargetMode="External"/><Relationship Id="rId213" Type="http://schemas.openxmlformats.org/officeDocument/2006/relationships/hyperlink" Target="https://leroymerlin.ru/product/marker-kraska-munhwa-82386606/?ysclid=lreu2ptily276140315&amp;utm_referrer=https%3A%2F%2Fya.ru%2F" TargetMode="External"/><Relationship Id="rId214" Type="http://schemas.openxmlformats.org/officeDocument/2006/relationships/hyperlink" Target="https://stavropol.kuvalda.ru/catalog/7839/product-116121/?ysclid=lreu99hbxc361246411" TargetMode="External"/><Relationship Id="rId215" Type="http://schemas.openxmlformats.org/officeDocument/2006/relationships/hyperlink" Target="https://www.vseinstrumenti.ru/product/maslo-compressor-s-synth-100-1-l-gazpromneft-253721871-1175782/otzyvy/" TargetMode="External"/><Relationship Id="rId216" Type="http://schemas.openxmlformats.org/officeDocument/2006/relationships/hyperlink" Target="https://amertend.ru/gazpromneft-compressor-s-synth-100" TargetMode="External"/><Relationship Id="rId217" Type="http://schemas.openxmlformats.org/officeDocument/2006/relationships/hyperlink" Target="https://piteroils.ru/catalog/industrialnye_smazochnye_materialy/kompressornye/gazprom_neft_8/26841/" TargetMode="External"/><Relationship Id="rId218" Type="http://schemas.openxmlformats.org/officeDocument/2006/relationships/hyperlink" Target="https://megamarket.ru/catalog/details/maslo-kompressornoe-gazpromneft-compressor-s-synth-100-1l-253721871-600005570435/?ysclid=lrey40ntaq13979534" TargetMode="External"/><Relationship Id="rId219" Type="http://schemas.openxmlformats.org/officeDocument/2006/relationships/hyperlink" Target="https://www.vseinstrumenti.ru/product/maslo-compressor-s-synth-100-1-l-gazpromneft-253721871-1175782/?ysclid=lrey3ssap859720018" TargetMode="External"/><Relationship Id="rId220" Type="http://schemas.openxmlformats.org/officeDocument/2006/relationships/hyperlink" Target="https://leroymerlin.ru/product/maslo-dlya-kompressora-gazpromneft-compres-s-synth-100-1-l-82680707/?ysclid=lrey1wlua4125993148&amp;utm_referrer=https%3A%2F%2Fya.ru%2F" TargetMode="External"/><Relationship Id="rId221" Type="http://schemas.openxmlformats.org/officeDocument/2006/relationships/hyperlink" Target="https://www.autoopt.ru/catalog/733654-maslo_kompressornoe_compressor_s_synth_150_205l180kg_gazpromneft" TargetMode="External"/><Relationship Id="rId222" Type="http://schemas.openxmlformats.org/officeDocument/2006/relationships/hyperlink" Target="https://amertend.ru/gazpromneft-compressor-s-synth-150" TargetMode="External"/><Relationship Id="rId223" Type="http://schemas.openxmlformats.org/officeDocument/2006/relationships/hyperlink" Target="https://vils.ru/catalog/kompressornye_masla/gazpromneft_compressor_s_synth_150/?offer=41867" TargetMode="External"/><Relationship Id="rId224" Type="http://schemas.openxmlformats.org/officeDocument/2006/relationships/hyperlink" Target="https://oil-store.ru/masla-i-smazki/industrialnye-masla/kompressornye-masla/kompressornoe-maslo-gazpromneft-compressor-s-synth-150-205l/" TargetMode="External"/><Relationship Id="rId225" Type="http://schemas.openxmlformats.org/officeDocument/2006/relationships/hyperlink" Target="https://market.yandex.ru/product--kompressornoe-maslo-gazpromneft-compressor-s-synth-150-205-l/1928907666?sku=101918768244&amp;do-waremd5=dT5LuY8jISq6tDkeg-YAvQ&amp;uniqueId=14123210" TargetMode="External"/><Relationship Id="rId226" Type="http://schemas.openxmlformats.org/officeDocument/2006/relationships/hyperlink" Target="https://www.autoopt.ru/catalog/733654-maslo_kompressornoe_compressor_s_synth_150_205l180kg_gazpromneft?ysclid=lreykdnxqu664170247" TargetMode="External"/><Relationship Id="rId227" Type="http://schemas.openxmlformats.org/officeDocument/2006/relationships/hyperlink" Target="https://ru.lukoil-shop.com/catalog/kommercheskiy_transport/motornye_masla/maslo_motornoe_lukoyl_avangard_mineralnoe_15w_40_api_cf_4_sg/" TargetMode="External"/><Relationship Id="rId228" Type="http://schemas.openxmlformats.org/officeDocument/2006/relationships/hyperlink" Target="https://baza.drom.ru/ekaterinburg/chemistry/motoroil/maslo-motornoe-lukoil-avangard-extra-15w-40-cg-4-e5-mineralnoe-5-l-dlja-kommerch-tehniki-lukoil-1552367-g12763204629.html" TargetMode="External"/><Relationship Id="rId229" Type="http://schemas.openxmlformats.org/officeDocument/2006/relationships/hyperlink" Target="https://www.arsenal-msk.ru/catalog/dlya-kommercheskogo-transporta/lukoyl-avangard-15w-40/" TargetMode="External"/><Relationship Id="rId230" Type="http://schemas.openxmlformats.org/officeDocument/2006/relationships/hyperlink" Target="https://maslenych.ru/shop/avtomasla/motornye_masla/40044/" TargetMode="External"/><Relationship Id="rId231" Type="http://schemas.openxmlformats.org/officeDocument/2006/relationships/hyperlink" Target="https://ru.lukoil-shop.com/catalog/kommercheskiy_transport/motornye_masla/maslo_motornoe_lukoyl_avangard_mineralnoe_15w_40_api_cf_4_sg/?ysclid=lrezh29s5i793370538" TargetMode="External"/><Relationship Id="rId232" Type="http://schemas.openxmlformats.org/officeDocument/2006/relationships/hyperlink" Target="https://piteroils.ru/catalog/gruzovye_masla/otechestvennye_1/lukoyl_1/polusinteticheskie_18/13191/" TargetMode="External"/><Relationship Id="rId233" Type="http://schemas.openxmlformats.org/officeDocument/2006/relationships/hyperlink" Target="https://www.vsemasla.com/lukojl-avangard-ul-tra-10w-40-ci-4-sl/" TargetMode="External"/><Relationship Id="rId234" Type="http://schemas.openxmlformats.org/officeDocument/2006/relationships/hyperlink" Target="https://hyperauto.ru/product/maslo-motornoe-lukoyl-avantgarde-ultra-10w40-polusinteticheskoe-api-sl-ci-4-acea-e7-jaso-dh-1-dlya-dizelnogo-dvigatelya-5l-art-19518-000017864/" TargetMode="External"/><Relationship Id="rId235" Type="http://schemas.openxmlformats.org/officeDocument/2006/relationships/hyperlink" Target="https://oil-store.ru/masla-i-smazki/motornye-masla/gruzovoj-transport/motornoe-maslo-lukojl-avangard-ultra-10w-40-50l/" TargetMode="External"/><Relationship Id="rId236" Type="http://schemas.openxmlformats.org/officeDocument/2006/relationships/hyperlink" Target="https://b2b.lukoil-shop.ru/product/lukoil_avantgarde_ultra_10w_40/" TargetMode="External"/><Relationship Id="rId237" Type="http://schemas.openxmlformats.org/officeDocument/2006/relationships/hyperlink" Target="https://shop220.ru/kkm11-018-230-01-kontaktor-kmi-11811-18a-230v-as3-1nz-iek.htm" TargetMode="External"/><Relationship Id="rId238" Type="http://schemas.openxmlformats.org/officeDocument/2006/relationships/hyperlink" Target="https://www.etm.ru/cat/nn/9751780?city=77" TargetMode="External"/><Relationship Id="rId239" Type="http://schemas.openxmlformats.org/officeDocument/2006/relationships/hyperlink" Target="https://rs24.ru/product/30482" TargetMode="External"/><Relationship Id="rId240" Type="http://schemas.openxmlformats.org/officeDocument/2006/relationships/hyperlink" Target="https://www.elektro.ru/product/kontaktor_kmi-11811_18a_400v_as3_1nz_iek/?ysclid=lrfwyyu02871443555" TargetMode="External"/><Relationship Id="rId241" Type="http://schemas.openxmlformats.org/officeDocument/2006/relationships/hyperlink" Target="https://www.chipdip.ru/product0/8000856354" TargetMode="External"/><Relationship Id="rId242" Type="http://schemas.openxmlformats.org/officeDocument/2006/relationships/hyperlink" Target="https://ledgoods.ru/ehlektrotekhnika/kontaktory/minikontaktory/kontaktor-kmi-22511-25a-230v-as3-1nz-kkm21-025-230-01-iek/" TargetMode="External"/><Relationship Id="rId243" Type="http://schemas.openxmlformats.org/officeDocument/2006/relationships/hyperlink" Target="https://elevel.ru/shop/nizkovoltnoe-oborudovanie/kontaktory/iek-kontaktor-kmi-22511-25a-230v-as3-1nz/?ysclid=lnn3vbaxbe794611308" TargetMode="External"/><Relationship Id="rId244" Type="http://schemas.openxmlformats.org/officeDocument/2006/relationships/hyperlink" Target="https://www.elektro.ru/product/kontaktor_kmi-22511_25a_230v_as3_1nz_iek/?ysclid=lnn3vd85mf333358050" TargetMode="External"/><Relationship Id="rId245" Type="http://schemas.openxmlformats.org/officeDocument/2006/relationships/hyperlink" Target="https://www.vseinstrumenti.ru/product/kontaktor-iek-kmi-22511-25a-220v-iek-kkm21-025-230-01-1172033/?ysclid=lrfx9rg2sq369511159" TargetMode="External"/><Relationship Id="rId246" Type="http://schemas.openxmlformats.org/officeDocument/2006/relationships/hyperlink" Target="https://zipzap24.ru/drives-and-timing/remen-ventilyatora-k-kt-2sht-belt-art-2614b655" TargetMode="External"/><Relationship Id="rId247" Type="http://schemas.openxmlformats.org/officeDocument/2006/relationships/hyperlink" Target="https://www.hited-shop.ru/product/remen-ventilyatora-belt-art2614b655" TargetMode="External"/><Relationship Id="rId248" Type="http://schemas.openxmlformats.org/officeDocument/2006/relationships/hyperlink" Target="https://dg-trade.ru/catalog/zapchasti-dlya-dvigateley/zapchasti-perkins/remen-sistemy-okhlazhdeniya-perkins-2614b655/" TargetMode="External"/><Relationship Id="rId249" Type="http://schemas.openxmlformats.org/officeDocument/2006/relationships/hyperlink" Target="https://impart.online/catalog/2614b655-remen-k-kt-iz-2kh-sht-perkins-lupsls/?ysclid=lrfxr1ngz376048122" TargetMode="External"/><Relationship Id="rId250" Type="http://schemas.openxmlformats.org/officeDocument/2006/relationships/hyperlink" Target="https://www.autoopt.ru/catalog/911424-remen_privodnoj_klinovoj_13h1075_contitech" TargetMode="External"/><Relationship Id="rId251" Type="http://schemas.openxmlformats.org/officeDocument/2006/relationships/hyperlink" Target="https://avto-sistem.ru/baskets" TargetMode="External"/><Relationship Id="rId252" Type="http://schemas.openxmlformats.org/officeDocument/2006/relationships/hyperlink" Target="https://autocode.ru/price/Contitech/AVX13X1075" TargetMode="External"/><Relationship Id="rId253" Type="http://schemas.openxmlformats.org/officeDocument/2006/relationships/hyperlink" Target="https://www.tss.ru/catalog/zapchasti/zapasnye_chasti_dlya_dizelnykh_dvigateley/dvigateli_perkins/zapchasti_dlya_perkins_404_d_22g_ad_16_m18/remen_privoda_generatora_998_378_10000_66575_fg_wilson_004160/" TargetMode="External"/><Relationship Id="rId254" Type="http://schemas.openxmlformats.org/officeDocument/2006/relationships/hyperlink" Target="https://trustenergo.ru/catalog/zapasnye-chasti-dlya-dizelnykh-dvigateley/tss/remen-privoda-generatora-998-378-10000-66575-fg-wilson/" TargetMode="External"/><Relationship Id="rId255" Type="http://schemas.openxmlformats.org/officeDocument/2006/relationships/hyperlink" Target="https://www.rekon-russia.ru/catalog/detail/remen_privoda_generatora_998_378_10000_66575_fg_wilson/" TargetMode="External"/><Relationship Id="rId256" Type="http://schemas.openxmlformats.org/officeDocument/2006/relationships/hyperlink" Target="https://tss52.com/catalog/zapchasti/dlya-dizelnykh-dvigateley/perkins-dizel/perkins-404-d-22g-ad-16-m18/remen-privoda-generatora-998-378-10000-66575-fg-wilson/?ysclid=lrfykes390518290689" TargetMode="External"/><Relationship Id="rId257" Type="http://schemas.openxmlformats.org/officeDocument/2006/relationships/hyperlink" Target="https://ati-auto.ru/catalog/rubena/88675/" TargetMode="External"/><Relationship Id="rId258" Type="http://schemas.openxmlformats.org/officeDocument/2006/relationships/hyperlink" Target="https://gettzap.ru/cart" TargetMode="External"/><Relationship Id="rId259" Type="http://schemas.openxmlformats.org/officeDocument/2006/relationships/hyperlink" Target="https://jetauto39.ru/baskets" TargetMode="External"/><Relationship Id="rId260" Type="http://schemas.openxmlformats.org/officeDocument/2006/relationships/hyperlink" Target="https://motorteile.ru/products/OPTIBELT/AVX13X1325TM.html" TargetMode="External"/><Relationship Id="rId261" Type="http://schemas.openxmlformats.org/officeDocument/2006/relationships/hyperlink" Target="https://baza.drom.ru/barnaul/sell_spare_parts/remen-grm-contitech-avx13x1325-113231681.html" TargetMode="External"/><Relationship Id="rId262" Type="http://schemas.openxmlformats.org/officeDocument/2006/relationships/hyperlink" Target="https://euroauto.ru/cart/" TargetMode="External"/><Relationship Id="rId263" Type="http://schemas.openxmlformats.org/officeDocument/2006/relationships/hyperlink" Target="https://fg-wilson.ru/product/filtr-vozdushnyy-elementair-filter-element-art-10000-51238" TargetMode="External"/><Relationship Id="rId264" Type="http://schemas.openxmlformats.org/officeDocument/2006/relationships/hyperlink" Target="https://pecmall.ru/products/FG-WILSON/1000051238.html" TargetMode="External"/><Relationship Id="rId265" Type="http://schemas.openxmlformats.org/officeDocument/2006/relationships/hyperlink" Target="https://zapchasti-generator.ru/catalog/zapchasti_i_raskhodnye_materialy/zapchasti-dlya-dvigateley/filtry_/vozdushnye/filtr_vozdushnyy_fg_willson_perkins_901_048_26510342/?utm_source=yd_context&amp;utm_medium=cpc&amp;utm_campaign=84814378&amp;utm_content=5152750150-13" TargetMode="External"/><Relationship Id="rId266" Type="http://schemas.openxmlformats.org/officeDocument/2006/relationships/hyperlink" Target="https://fg-wilson.ru/product/filtr-vozdushnyy-901-046-26510362-915-660-art-901-046" TargetMode="External"/><Relationship Id="rId267" Type="http://schemas.openxmlformats.org/officeDocument/2006/relationships/hyperlink" Target="https://pecmall.ru/products/FG-WILSON/901046.html" TargetMode="External"/><Relationship Id="rId268" Type="http://schemas.openxmlformats.org/officeDocument/2006/relationships/hyperlink" Target="https://agroserver.ru/b/filtr-vozdushnyy-fg-wilson-901-046-26510362-915-660-1539830.htm" TargetMode="External"/><Relationship Id="rId269" Type="http://schemas.openxmlformats.org/officeDocument/2006/relationships/hyperlink" Target="https://autopiter.ru/cart" TargetMode="External"/><Relationship Id="rId270" Type="http://schemas.openxmlformats.org/officeDocument/2006/relationships/hyperlink" Target="https://texnostimul.ru/baskets" TargetMode="External"/><Relationship Id="rId271" Type="http://schemas.openxmlformats.org/officeDocument/2006/relationships/hyperlink" Target="https://arkopart.ru/baskets" TargetMode="External"/><Relationship Id="rId272" Type="http://schemas.openxmlformats.org/officeDocument/2006/relationships/hyperlink" Target="https://autopiter.ru/goods/af25539/fleetguard/id21461873" TargetMode="External"/><Relationship Id="rId273" Type="http://schemas.openxmlformats.org/officeDocument/2006/relationships/hyperlink" Target="https://baza.drom.ru/tyumen/sell_spare_parts/filtr-vozdushnyj-mtz-dv-lombardini-fleetguard-fleetguard-art-af25539-g14339684661.html" TargetMode="External"/><Relationship Id="rId274" Type="http://schemas.openxmlformats.org/officeDocument/2006/relationships/hyperlink" Target="https://gmgauto.ru/baskets" TargetMode="External"/><Relationship Id="rId275" Type="http://schemas.openxmlformats.org/officeDocument/2006/relationships/hyperlink" Target="https://www.autoopt.ru/catalog/961833-filtr_masljanyj_caterpillar_fleetguard" TargetMode="External"/><Relationship Id="rId276" Type="http://schemas.openxmlformats.org/officeDocument/2006/relationships/hyperlink" Target="https://emex.ru/basket" TargetMode="External"/><Relationship Id="rId277" Type="http://schemas.openxmlformats.org/officeDocument/2006/relationships/hyperlink" Target="https://fetparts.ru/baskets" TargetMode="External"/><Relationship Id="rId278" Type="http://schemas.openxmlformats.org/officeDocument/2006/relationships/hyperlink" Target="https://avsila.ru/catalog/masla-avtokosmetika-avtokhimiya/germetiki/germetik-abro-silikonovyy-seryy-85-gr-original-99-ab/" TargetMode="External"/><Relationship Id="rId279" Type="http://schemas.openxmlformats.org/officeDocument/2006/relationships/hyperlink" Target="https://www.avtoall.ru/germetik_prokladka_seryiy_termostoiykiiy_85g_999_oem__ssha__abro-073340/?withoutSuppliers=1" TargetMode="External"/><Relationship Id="rId280" Type="http://schemas.openxmlformats.org/officeDocument/2006/relationships/hyperlink" Target="https://www.chipdip.ru/product0/8013231474" TargetMode="External"/><Relationship Id="rId281" Type="http://schemas.openxmlformats.org/officeDocument/2006/relationships/hyperlink" Target="https://instrument-40.ru/transmissionnoe-maslo-vitex-tad-17-tm-5-18-10-l-v324805" TargetMode="External"/><Relationship Id="rId282" Type="http://schemas.openxmlformats.org/officeDocument/2006/relationships/hyperlink" Target="https://yunimag.ru/goods/1401431-transmissionnoe-maslo-vitex-tad-17tm-5-18-v324805.html" TargetMode="External"/><Relationship Id="rId283" Type="http://schemas.openxmlformats.org/officeDocument/2006/relationships/hyperlink" Target="https://novorossiysk.vseinstrumenti.ru/product/transmissionnoe-maslo-vitex-tad-17-tm-5-18-10-l-v324805-1582198/?ysclid=lnn32euvjo575984245" TargetMode="External"/><Relationship Id="rId284" Type="http://schemas.openxmlformats.org/officeDocument/2006/relationships/hyperlink" Target="https://smetiz.ru/tovary/gajki/gost-5915-70-d4-k5-mstal-pczink-h0-l0-ca2-akrupnyij-srossiya-117397/" TargetMode="External"/><Relationship Id="rId285" Type="http://schemas.openxmlformats.org/officeDocument/2006/relationships/hyperlink" Target="https://kst21.ru/catalog/gayka_shestigrannaya_gost_5915_5927_din_934/gayka_m_4_otsink_kl_pr_8_0_din_934_gost_5915/" TargetMode="External"/><Relationship Id="rId286" Type="http://schemas.openxmlformats.org/officeDocument/2006/relationships/hyperlink" Target="https://smetiz.ru/tovary/gajki/gost-5915-70-d5-k5-mstal-pbez-pokryitiya-h0-l0-ca2-akrupnyij-srossiya-121664/" TargetMode="External"/><Relationship Id="rId287" Type="http://schemas.openxmlformats.org/officeDocument/2006/relationships/hyperlink" Target="https://www.mtk-fortuna.ru/listdiams.aspx?gradeid=1520" TargetMode="External"/><Relationship Id="rId288" Type="http://schemas.openxmlformats.org/officeDocument/2006/relationships/hyperlink" Target="https://megamarket.ru/catalog/details/germetik-silikonovyy-prozrachnyy-310-g-vysokotemperaturnyy-abro-ss-1200-clr-abro-art-ss-12-100025302233/" TargetMode="External"/><Relationship Id="rId289" Type="http://schemas.openxmlformats.org/officeDocument/2006/relationships/hyperlink" Target="https://www.chipdip.ru/product0/8022187512" TargetMode="External"/><Relationship Id="rId290" Type="http://schemas.openxmlformats.org/officeDocument/2006/relationships/hyperlink" Target="https://leroymerlin.ru/product/germetik-silikonovyy-abro-ss-1200-clr1200-prozrachnyy-310-ml-90342403/?utm_referrer=https%3A%2F%2Fyandex.ru%2Fsearch%2F%3Ftext%3D%25D0%25A1%25D0%25B8%25D0%25BB%25D0%25B8%25D0%25BA%25D0%25BE%25D0%25BD%25D0%25BE%25D0%25B2%25D1" TargetMode="External"/><Relationship Id="rId291" Type="http://schemas.openxmlformats.org/officeDocument/2006/relationships/hyperlink" Target="https://nevinnomyssk.kupi.ru/product/180-kley-spetsialnyy-moment-stolyar-770835763/" TargetMode="External"/><Relationship Id="rId292" Type="http://schemas.openxmlformats.org/officeDocument/2006/relationships/hyperlink" Target="https://www.onlinetrade.ru/catalogue/kley-c3491/moment/kley_dlya_dereva_moment_stolyar_422981_250_g-545082.html" TargetMode="External"/><Relationship Id="rId293" Type="http://schemas.openxmlformats.org/officeDocument/2006/relationships/hyperlink" Target="https://www.etm.ru/cat/nn/9869907" TargetMode="External"/><Relationship Id="rId294" Type="http://schemas.openxmlformats.org/officeDocument/2006/relationships/hyperlink" Target="https://kraski-dl.ru/product/kraska-nerzhamet-ral-1028-zhyoltaya-dynya-antiko/" TargetMode="External"/><Relationship Id="rId295" Type="http://schemas.openxmlformats.org/officeDocument/2006/relationships/hyperlink" Target="https://wooood.ru/catalog/emal/kraska_po_metallu_antikorrozionnaya_nerzhamet_10_kg/?oid=7108" TargetMode="External"/><Relationship Id="rId296" Type="http://schemas.openxmlformats.org/officeDocument/2006/relationships/hyperlink" Target="https://color-servis.ru/catalog/soputstvuyushchie_tovary/anti_koroziynye_kraski/923/" TargetMode="External"/><Relationship Id="rId297" Type="http://schemas.openxmlformats.org/officeDocument/2006/relationships/hyperlink" Target="https://spb-orion.ru/product/nerzhamet/?ysclid=lrg7w91j5z245218018" TargetMode="External"/><Relationship Id="rId298" Type="http://schemas.openxmlformats.org/officeDocument/2006/relationships/hyperlink" Target="https://kraski-dl.ru/product/kraska-nerzhamet-ral-1028-zhyoltaya-dynya-antiko/" TargetMode="External"/><Relationship Id="rId299" Type="http://schemas.openxmlformats.org/officeDocument/2006/relationships/hyperlink" Target="https://kraski-dl.ru/product/kraska-nerzhamet-ral-6020-zelenyj-hrom-antikorrozionnaya-poluglyanczevaya-dlya-metalla-krasko/" TargetMode="External"/><Relationship Id="rId300" Type="http://schemas.openxmlformats.org/officeDocument/2006/relationships/hyperlink" Target="https://ral.ru.com/catalog/kraski-ral/kraska-po-rzhavchine-ral/grunt-emal-nerzhamet-po-rzhavchine-poluglyantsevaya-3-v-1-8-kg/" TargetMode="External"/><Relationship Id="rId301" Type="http://schemas.openxmlformats.org/officeDocument/2006/relationships/hyperlink" Target="https://spb-orion.ru/product/nerzhamet/" TargetMode="External"/><Relationship Id="rId302" Type="http://schemas.openxmlformats.org/officeDocument/2006/relationships/hyperlink" Target="https://spb-orion.ru/product/nerzhamet/?ysclid=lrg7w91j5z245218018" TargetMode="External"/><Relationship Id="rId303" Type="http://schemas.openxmlformats.org/officeDocument/2006/relationships/hyperlink" Target="https://kraski-dl.ru/product/kraska-nerzhamet-ral-6029-zelenaya-myata-antikorrozionnaya-poluglyanczevaya-dlya-metalla-krasko/" TargetMode="External"/><Relationship Id="rId304" Type="http://schemas.openxmlformats.org/officeDocument/2006/relationships/hyperlink" Target="https://kraski-dl.ru/product/kraska-nerzhamet-ral-3001-signalnyj-krasnyj/" TargetMode="External"/><Relationship Id="rId305" Type="http://schemas.openxmlformats.org/officeDocument/2006/relationships/hyperlink" Target="https://market.yandex.ru/catalog--emali/18060863/list?srnum=1&amp;was_redir=1&amp;rt=9&amp;rs=eJwdkD1Iw0AcxRNbm6JLHNRBJIeDg-Li5kchk3PRwfUQZzcddPDUwaKIOAmBQsDB4lAKUgVNNYNCMUovYDeRjG6Ki-Ci997y49279_-4m37Ile3NfLGb9Aa2p6u6mSp9pRs6MmpX6BtzbKQ7umV4fGH3FSvnR45b7x46OATfnYJ7k" TargetMode="External"/><Relationship Id="rId306" Type="http://schemas.openxmlformats.org/officeDocument/2006/relationships/hyperlink" Target="https://lkmflot.ru/kraski-i-emali/naruzhnye-i-vnutrennie/krasko/kraska-grunt-dlya-metalla-krasko-nerzhamet/" TargetMode="External"/><Relationship Id="rId307" Type="http://schemas.openxmlformats.org/officeDocument/2006/relationships/hyperlink" Target="https://spb-orion.ru/product/nerzhamet/?ysclid=lrg7w91j5z245218018" TargetMode="External"/><Relationship Id="rId308" Type="http://schemas.openxmlformats.org/officeDocument/2006/relationships/hyperlink" Target="https://kraski-dl.ru/product/kraska-nerzhamet-ral-3020-transportnyj-krasn/" TargetMode="External"/><Relationship Id="rId309" Type="http://schemas.openxmlformats.org/officeDocument/2006/relationships/hyperlink" Target="https://postroyka-nv.ru/catalog/show/Emal_NERZHAMETRAL7040seryj20kg" TargetMode="External"/><Relationship Id="rId310" Type="http://schemas.openxmlformats.org/officeDocument/2006/relationships/hyperlink" Target="https://market.yandex.ru/product--profi-roof/1824487696/spec?track=char" TargetMode="External"/><Relationship Id="rId311" Type="http://schemas.openxmlformats.org/officeDocument/2006/relationships/hyperlink" Target="https://ekb.pulscen.ru/products/grunt_emal_nerzhamet_49323632" TargetMode="External"/><Relationship Id="rId312" Type="http://schemas.openxmlformats.org/officeDocument/2006/relationships/hyperlink" Target="https://spb-orion.ru/product/nerzhamet/?ysclid=lrg7w91j5z245218018" TargetMode="External"/><Relationship Id="rId313" Type="http://schemas.openxmlformats.org/officeDocument/2006/relationships/hyperlink" Target="https://color1.ru/alkidnaya-antikorrozionnaya-grunt-emal-indosingl-tsvet-ral-7032-1kg" TargetMode="External"/><Relationship Id="rId314" Type="http://schemas.openxmlformats.org/officeDocument/2006/relationships/hyperlink" Target="https://profkolor.ru/goods/Kod-po-katalogu-RAL7032-2K-antikorrozijnaya-akrilovaya-grunt-jemal-Naimenovanie-kraski-Kieselgrau-Seraya-galka" TargetMode="External"/><Relationship Id="rId315" Type="http://schemas.openxmlformats.org/officeDocument/2006/relationships/hyperlink" Target="https://leroymerlin-jeb.ru/tovary/stroitelstvo-i-remont/materialy/alkidnaya-antikorrozionnaya-grunt-emal-indosingl-cvet-ral-7034-1kg" TargetMode="External"/><Relationship Id="rId316" Type="http://schemas.openxmlformats.org/officeDocument/2006/relationships/hyperlink" Target="https://kraski-dl.ru/product/kraska-nerzhamet-ral-7032-seraya-galka-antikorrozionnaya-poluglyanczevaya-dlya-metalla-krasko/" TargetMode="External"/><Relationship Id="rId317" Type="http://schemas.openxmlformats.org/officeDocument/2006/relationships/hyperlink" Target="https://www.bafus.ru/200716029/" TargetMode="External"/><Relationship Id="rId318" Type="http://schemas.openxmlformats.org/officeDocument/2006/relationships/hyperlink" Target="https://kraski-dl.ru/product/kraska-nerzhamet-ral-9017-chyornyj-transportny/" TargetMode="External"/><Relationship Id="rId319" Type="http://schemas.openxmlformats.org/officeDocument/2006/relationships/hyperlink" Target="https://postroyka-nv.ru/catalog/show/Emal_NERZHAMETRAL7040seryj20kg" TargetMode="External"/><Relationship Id="rId320" Type="http://schemas.openxmlformats.org/officeDocument/2006/relationships/hyperlink" Target="https://electrovent.ru/elektrotehnicheskie-tovary/lampy/energosberegayuschie-lampy/energosberegayuschaya-lampa-philips-softone-esaver-11w-827-e27-230-240v-t60/" TargetMode="External"/><Relationship Id="rId321" Type="http://schemas.openxmlformats.org/officeDocument/2006/relationships/hyperlink" Target="https://ledgoods.ru/osveshchenie/lamps/lampy-ehnergosberegayushchie-kll/lampa-lyuminescentnaya-kll-genie-es-11w-ww-e27-220-240v-1pf-6-871150080119710-ph80119710-philips/" TargetMode="External"/><Relationship Id="rId322" Type="http://schemas.openxmlformats.org/officeDocument/2006/relationships/hyperlink" Target="https://www.smartlamps.ru/products/softone-esaver-11w-827-e27-230-240v-t60-d60x114-philips-lampa" TargetMode="External"/><Relationship Id="rId323" Type="http://schemas.openxmlformats.org/officeDocument/2006/relationships/hyperlink" Target="https://www.chipdip.ru/product0/8173557661?ysclid=lnnduye3ft880435890" TargetMode="External"/><Relationship Id="rId324" Type="http://schemas.openxmlformats.org/officeDocument/2006/relationships/hyperlink" Target="https://rs24.ru/product/165966" TargetMode="External"/><Relationship Id="rId325" Type="http://schemas.openxmlformats.org/officeDocument/2006/relationships/hyperlink" Target="https://www.etm.ru/cat/nn/1811446?ysclid=lnndurbfbl890260666&amp;city=77" TargetMode="External"/><Relationship Id="rId326" Type="http://schemas.openxmlformats.org/officeDocument/2006/relationships/hyperlink" Target="https://www.etm.ru/cat/nn/9053610?city=77" TargetMode="External"/><Relationship Id="rId327" Type="http://schemas.openxmlformats.org/officeDocument/2006/relationships/hyperlink" Target="https://electro-materiali.ru/catalog/lampy-istochniki-sveta/lampy-luminestsentnye/lampy-kompaktnye-lyuministsentnye-i-lyuministsentnye-uniel/102649/" TargetMode="External"/><Relationship Id="rId328" Type="http://schemas.openxmlformats.org/officeDocument/2006/relationships/hyperlink" Target="https://elkon.su/lampa-energosberegayushchaya-kll-45-842-e27-d64x157-spiral-kosmos/" TargetMode="External"/><Relationship Id="rId329" Type="http://schemas.openxmlformats.org/officeDocument/2006/relationships/hyperlink" Target="https://nevinnomissk.promportal.su/goods/37468248/labomid-203.htm" TargetMode="External"/><Relationship Id="rId330" Type="http://schemas.openxmlformats.org/officeDocument/2006/relationships/hyperlink" Target="https://fedexpert.ru/catalog/khimiya/moyushchie_sredstva/tekhnicheskie_moyushchie_sredstva/8594/" TargetMode="External"/><Relationship Id="rId331" Type="http://schemas.openxmlformats.org/officeDocument/2006/relationships/hyperlink" Target="https://www.eko-tec.ru/product/5166279/" TargetMode="External"/><Relationship Id="rId332" Type="http://schemas.openxmlformats.org/officeDocument/2006/relationships/hyperlink" Target="https://stavropol.pulscen.ru/products/labomid_203_fasovka_35_kg_59604586" TargetMode="External"/><Relationship Id="rId333" Type="http://schemas.openxmlformats.org/officeDocument/2006/relationships/hyperlink" Target="https://www.aquateka.ru/?cat=products&amp;prod=tehnicheskoe-moyushee-sredstvo-labomid-203-40-kg-650040" TargetMode="External"/><Relationship Id="rId334" Type="http://schemas.openxmlformats.org/officeDocument/2006/relationships/hyperlink" Target="https://www.td-polimer54.ru/goods/84558460-labomid_203" TargetMode="External"/><Relationship Id="rId335" Type="http://schemas.openxmlformats.org/officeDocument/2006/relationships/hyperlink" Target="https://www.vseinstrumenti.ru/product/lampa-gauss-led-elementary-a60-15w-e27-1480lm-6500k-23235-942504/" TargetMode="External"/><Relationship Id="rId336" Type="http://schemas.openxmlformats.org/officeDocument/2006/relationships/hyperlink" Target="https://www.etm.ru/cat/nn/8532745" TargetMode="External"/><Relationship Id="rId337" Type="http://schemas.openxmlformats.org/officeDocument/2006/relationships/hyperlink" Target="https://leroymerlin.ru/product/lampa-svetodiodnaya-osram-grusha-15vt-1521lm-e27-holodnyy-belyy-svet-85099643/" TargetMode="External"/><Relationship Id="rId338" Type="http://schemas.openxmlformats.org/officeDocument/2006/relationships/hyperlink" Target="https://krasnodar.specstali.ru/product/folga-latunnaja-dlja-pajki-l63-0-05-mm-gost-2208-2007-listovaja/" TargetMode="External"/><Relationship Id="rId339" Type="http://schemas.openxmlformats.org/officeDocument/2006/relationships/hyperlink" Target="https://metall-77.ru/folga-latunnaya" TargetMode="External"/><Relationship Id="rId340" Type="http://schemas.openxmlformats.org/officeDocument/2006/relationships/hyperlink" Target="https://snabservis.ru/catalog/latunnaya-folga/" TargetMode="External"/><Relationship Id="rId341" Type="http://schemas.openxmlformats.org/officeDocument/2006/relationships/hyperlink" Target="https://www.vseinstrumenti.ru/product/montazhnyj-klej-ceresit-cb-10-1864068-3014720/" TargetMode="External"/><Relationship Id="rId342" Type="http://schemas.openxmlformats.org/officeDocument/2006/relationships/hyperlink" Target="https://ts-krovizol.ru/catalog/product/akrilovyy-montazhnyy-kley-ceresit-cb-10-400-gr/" TargetMode="External"/><Relationship Id="rId343" Type="http://schemas.openxmlformats.org/officeDocument/2006/relationships/hyperlink" Target="https://www.stroyshopper.ru/product/klej_montazhnyj_akrilovyj_ceresit_cb_10/" TargetMode="External"/><Relationship Id="rId344" Type="http://schemas.openxmlformats.org/officeDocument/2006/relationships/hyperlink" Target="https://www.mirkrasok.ru/product/ceresit_cn_178_tserezit_smes_legko_vyravnivayushchayasya/sku_184941/" TargetMode="External"/><Relationship Id="rId345" Type="http://schemas.openxmlformats.org/officeDocument/2006/relationships/hyperlink" Target="https://profiplitka.ru/product/ceresit-cn-76-vysokoprochnaja-samovyravnivajuschajasja-tsementnaja-smes-ot-4-do-15-50-mm-25-kg/" TargetMode="External"/><Relationship Id="rId346" Type="http://schemas.openxmlformats.org/officeDocument/2006/relationships/hyperlink" Target="https://ts-krovizol.ru/catalog/product/samovyravnivayushchayasya-tsementnaya-smes-ceresit-cn-76-25-kg/?utm_source=stroyportal&amp;utm_medium=tag&amp;utm_campaign=moskva&amp;utm_term=1584431348722160720&amp;utm_content=24525&amp;strprtl=8fec4d06960f903a983c8359bb307ba9" TargetMode="External"/><Relationship Id="rId347" Type="http://schemas.openxmlformats.org/officeDocument/2006/relationships/hyperlink" Target="https://www.mirkrasok.ru/product/ceresit_cs_24_premium_universal_tserezit_germetik_silikonovyy_universalnyy/" TargetMode="External"/><Relationship Id="rId348" Type="http://schemas.openxmlformats.org/officeDocument/2006/relationships/hyperlink" Target="https://www.kraski-market.ru/catalog/germetiki_i_montazhnaya_pena/silikonovye_germetiki/" TargetMode="External"/><Relationship Id="rId349" Type="http://schemas.openxmlformats.org/officeDocument/2006/relationships/hyperlink" Target="https://www.kraski-market.ru/catalog/germetiki_i_montazhnaya_pena/silikonovye_germetiki/ceresit_cs_24_premium_universal_germetik_universalnyy_silikonovyy_prozrachnyy_280ml" TargetMode="External"/><Relationship Id="rId350" Type="http://schemas.openxmlformats.org/officeDocument/2006/relationships/hyperlink" Target="https://www.vseinstrumenti.ru/product/universalnyj-germetik-ceresit-cs-24-prozrachnyj-2005218-2392744/?ysclid=lrggpjlsko620944375" TargetMode="External"/><Relationship Id="rId351" Type="http://schemas.openxmlformats.org/officeDocument/2006/relationships/hyperlink" Target="https://ceresit-russia.ru/ceresit-ct29-fasovka-25-kg/" TargetMode="External"/><Relationship Id="rId352" Type="http://schemas.openxmlformats.org/officeDocument/2006/relationships/hyperlink" Target="https://rdstroy.ru/catalog/shpatlevki_tsementnye/ct_225_25_shpatlyevka_fasad_finish_belaya_48_sht_pod_ceresit/" TargetMode="External"/><Relationship Id="rId353" Type="http://schemas.openxmlformats.org/officeDocument/2006/relationships/hyperlink" Target="https://alea.shop/shpaklevka-cementnaya-belaya-ceresit-st-225-25-kg/" TargetMode="External"/><Relationship Id="rId354" Type="http://schemas.openxmlformats.org/officeDocument/2006/relationships/hyperlink" Target="https://rdstroy.ru/catalog/shtukaturki_tsementnye/ct_29_25_shtukat_i_remont_shpatlyevka_25_kg_48sht_pod_ceresit/" TargetMode="External"/><Relationship Id="rId355" Type="http://schemas.openxmlformats.org/officeDocument/2006/relationships/hyperlink" Target="https://ru-ceresit.com/ceresit-ct-29-2/" TargetMode="External"/><Relationship Id="rId356" Type="http://schemas.openxmlformats.org/officeDocument/2006/relationships/hyperlink" Target="https://rdstroy.ru/catalog/shtukaturki_tsementnye/ct_29_25_shtukat_i_remont_shpatlyevka_25_kg_48sht_pod_ceresit/" TargetMode="External"/><Relationship Id="rId357" Type="http://schemas.openxmlformats.org/officeDocument/2006/relationships/hyperlink" Target="https://ceresit-market.ru/catalog/klei-dlya-plitki/cm-14-extra-kley-d-plitki/" TargetMode="External"/><Relationship Id="rId358" Type="http://schemas.openxmlformats.org/officeDocument/2006/relationships/hyperlink" Target="https://www.mirkrasok.ru/product/ceresit_cm_14_extra_tserezit_kley_dlya_plitki_i_keramogranita/" TargetMode="External"/><Relationship Id="rId359" Type="http://schemas.openxmlformats.org/officeDocument/2006/relationships/hyperlink" Target="https://profiplitka.ru/product/ceresit-sm-14-extra-25-kg/" TargetMode="External"/><Relationship Id="rId360" Type="http://schemas.openxmlformats.org/officeDocument/2006/relationships/hyperlink" Target="https://stavropol.leroymerlin.ru/product/kley-dlya-plitki-i-keramogranita-cerezit-cm-14-extra-25-kg-82040394/?ysclid=lrghtm2zpp77919402&amp;fromRegion=34" TargetMode="External"/><Relationship Id="rId361" Type="http://schemas.openxmlformats.org/officeDocument/2006/relationships/hyperlink" Target="https://kraskivmoskve.ru/product/ceresit-ts-62tserezit-ts-62-universalnaya-montazhnaya-pena" TargetMode="External"/><Relationship Id="rId362" Type="http://schemas.openxmlformats.org/officeDocument/2006/relationships/hyperlink" Target="https://ceresitshop.ru/catalog/penyi-germetiki-klei/penyi/ceresit-ts-62" TargetMode="External"/><Relationship Id="rId363" Type="http://schemas.openxmlformats.org/officeDocument/2006/relationships/hyperlink" Target="https://www-fasad.ru/pena-montazhnaya-ceresit-ts-62-universalnaya-750-ml/" TargetMode="External"/><Relationship Id="rId364" Type="http://schemas.openxmlformats.org/officeDocument/2006/relationships/hyperlink" Target="https://moscow.petrovich.ru/product/102860/?ysclid=lnn6bm9c4n822490262" TargetMode="External"/><Relationship Id="rId365" Type="http://schemas.openxmlformats.org/officeDocument/2006/relationships/hyperlink" Target="https://www.termokit.ru/product/zatirka_ceresit_se_40_2_aquastatic_vodoottalkivayushchaya_belaya_01_2_kg.htm" TargetMode="External"/><Relationship Id="rId366" Type="http://schemas.openxmlformats.org/officeDocument/2006/relationships/hyperlink" Target="https://www.kraski.ru/catalog/ceresit_se_40_aquastatic_tserezit_tse_40_akvasatik_zatirka_dlya_shvov_do_10_mm_vodoottalkivayushchaya/?ysclid=lnn6bk9zgx457384661" TargetMode="External"/><Relationship Id="rId367" Type="http://schemas.openxmlformats.org/officeDocument/2006/relationships/hyperlink" Target="https://avtomaster66.ru/catalog/grunty_1/grunt_emal_mister_hammer_hardmax_korroed_ral_5015_goluboy_po_rzhavchine_1l_0_9kg_kvil_/" TargetMode="External"/><Relationship Id="rId368" Type="http://schemas.openxmlformats.org/officeDocument/2006/relationships/hyperlink" Target="https://www.chipdip.ru/product0/8008857921" TargetMode="External"/><Relationship Id="rId369" Type="http://schemas.openxmlformats.org/officeDocument/2006/relationships/hyperlink" Target="https://novorossiysk.vseinstrumenti.ru/product/grunt-emal-po-rzhavchine-hardmax-korroed-ral-5015-goluboj-banka-0-9-kg-1-sht-4690417077977-1853240/" TargetMode="External"/><Relationship Id="rId370" Type="http://schemas.openxmlformats.org/officeDocument/2006/relationships/hyperlink" Target="https://uni-fitt.shop/collection/baki-membannye/baki-rasshiritelnye-reflex/8210500.html?ysclid=lnn1xbpop1865454036" TargetMode="External"/><Relationship Id="rId371" Type="http://schemas.openxmlformats.org/officeDocument/2006/relationships/hyperlink" Target="https://teplo-com.ru/catalog/179460/" TargetMode="External"/><Relationship Id="rId372" Type="http://schemas.openxmlformats.org/officeDocument/2006/relationships/hyperlink" Target="https://www.teremonline.ru/catalog/inzhenernaya-santekhnika/membrannye-baki/3524_dlya-sistem-otopleniya/reflex-membrannyy-bak-s-100/?ysclid=lnn1x7fqoo281338246" TargetMode="External"/><Relationship Id="rId373" Type="http://schemas.openxmlformats.org/officeDocument/2006/relationships/hyperlink" Target="https://reflex.sale/katalog/membrannye-baki-dlia-sistem-otopleniia/s-50-250/bak-membrannij-reflex-s-100-10bar120c-serij-art-8210500" TargetMode="External"/><Relationship Id="rId374" Type="http://schemas.openxmlformats.org/officeDocument/2006/relationships/hyperlink" Target="https://zamkitut.ru/catalog/zamki/navesnye-zamki/chaz/navesnoy-zamok-chaz-vs2a/" TargetMode="External"/><Relationship Id="rId375" Type="http://schemas.openxmlformats.org/officeDocument/2006/relationships/hyperlink" Target="https://vertical.ru/product/navesnoy-zamok-chaz-vs2a/" TargetMode="External"/><Relationship Id="rId376" Type="http://schemas.openxmlformats.org/officeDocument/2006/relationships/hyperlink" Target="https://zamki34.ru/collection/zamki-navesnye-trosovye/product/zamok-navesnoy-chaz-vs2a-5665" TargetMode="External"/><Relationship Id="rId377" Type="http://schemas.openxmlformats.org/officeDocument/2006/relationships/hyperlink" Target="https://megamarket.ru/catalog/details/kraska-vgt-akrilovaya-vd-ak-1180-fasadnaya-superbelaya-vlagostoykaya-matovaya-bescvetnyy-13-kg-100051813645/?utm_source=yandex&amp;utm_medium=cpc&amp;utm_campaign=smm_search_dsa%3A4_stroitelstvo_i_remont_cb_%5Bregions%5D_%7C8" TargetMode="External"/><Relationship Id="rId378" Type="http://schemas.openxmlformats.org/officeDocument/2006/relationships/hyperlink" Target="https://nevinnomyssk.kupi.ru/product/180-kraska-fasadnaya-vdak-brigada-753362282/" TargetMode="External"/><Relationship Id="rId379" Type="http://schemas.openxmlformats.org/officeDocument/2006/relationships/hyperlink" Target="https://radugakraski.ru/katalog/kraski/dlya-mineralnyh-fasadov/vdak-1180z/?oid=19643" TargetMode="External"/><Relationship Id="rId380" Type="http://schemas.openxmlformats.org/officeDocument/2006/relationships/hyperlink" Target="https://oknabm.ru/catalog/accessories/steklopaket/odnokamernye-steklopakety/1k-steklopaket-4-16-4/" TargetMode="External"/><Relationship Id="rId381" Type="http://schemas.openxmlformats.org/officeDocument/2006/relationships/hyperlink" Target="https://www.relit.ru/price-replace-window.htm" TargetMode="External"/><Relationship Id="rId382" Type="http://schemas.openxmlformats.org/officeDocument/2006/relationships/hyperlink" Target="https://www.eurookna.ru/steklopakety/tsena-za-m2/" TargetMode="External"/><Relationship Id="rId383" Type="http://schemas.openxmlformats.org/officeDocument/2006/relationships/hyperlink" Target="https://new.optorg.ru/catalog/stroitelnye_i_otdelochnye_materialy/suhie_stroitelnye_smesi/shpatlevka/270086/" TargetMode="External"/><Relationship Id="rId384" Type="http://schemas.openxmlformats.org/officeDocument/2006/relationships/hyperlink" Target="https://nvs-stroy.ru/catalogue/11102/6440/?ysclid=lnn04m2n59102945093" TargetMode="External"/><Relationship Id="rId385" Type="http://schemas.openxmlformats.org/officeDocument/2006/relationships/hyperlink" Target="https://gorodmasterov23.ru/shop/stroitelnye-i-otdelochnye-materialy/suhie-smesi/shpatlevki/abs-saten-inter-shpatlevka-5-0-kg/?ysclid=lnn07ta0q9177616528" TargetMode="External"/><Relationship Id="rId386" Type="http://schemas.openxmlformats.org/officeDocument/2006/relationships/hyperlink" Target="https://new.optorg.ru/catalog/instrument_i_oborudovanie/elektrosvarochnoe_oborudovanie/elektrody/242388/" TargetMode="External"/><Relationship Id="rId387" Type="http://schemas.openxmlformats.org/officeDocument/2006/relationships/hyperlink" Target="https://www.svarcka.ru/svarochnye-materialy/elektrody-dlya-svarki/3-1-381-detail.html" TargetMode="External"/><Relationship Id="rId388" Type="http://schemas.openxmlformats.org/officeDocument/2006/relationships/hyperlink" Target="https://krasnodar.vseinstrumenti.ru/product/elektrody-svarochnye-ano-21-1-kg-3-mm-tigarbo-te-213010009-1933705/?ysclid=lnmzpk2gss399476481" TargetMode="External"/><Relationship Id="rId389" Type="http://schemas.openxmlformats.org/officeDocument/2006/relationships/hyperlink" Target="https://www.keram-market.ru/rossiyskaya-plitka/kerama-marazzi/spetsii/imbir-bezh-sp901800n" TargetMode="External"/><Relationship Id="rId390" Type="http://schemas.openxmlformats.org/officeDocument/2006/relationships/hyperlink" Target="https://www.bestceramic.ru/goods/imbir-sp901800n" TargetMode="External"/><Relationship Id="rId391" Type="http://schemas.openxmlformats.org/officeDocument/2006/relationships/hyperlink" Target="https://spb.keram-market.ru/rossiyskaya-plitka/kerama-marazzi/spetsii/imbir-bezh-sp901800n" TargetMode="External"/><Relationship Id="rId392" Type="http://schemas.openxmlformats.org/officeDocument/2006/relationships/drawing" Target="../drawings/drawing6.xml"/><Relationship Id="rId393" Type="http://schemas.openxmlformats.org/officeDocument/2006/relationships/vmlDrawing" Target="../drawings/vmlDrawing5.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I195"/>
  <sheetViews>
    <sheetView showFormulas="false" showGridLines="true" showRowColHeaders="true" showZeros="true" rightToLeft="false" tabSelected="false" showOutlineSymbols="true" defaultGridColor="true" view="pageBreakPreview" topLeftCell="A1" colorId="64" zoomScale="75" zoomScaleNormal="70" zoomScalePageLayoutView="75" workbookViewId="0">
      <pane xSplit="5" ySplit="10" topLeftCell="F78" activePane="bottomRight" state="frozen"/>
      <selection pane="topLeft" activeCell="A1" activeCellId="0" sqref="A1"/>
      <selection pane="topRight" activeCell="F1" activeCellId="0" sqref="F1"/>
      <selection pane="bottomLeft" activeCell="A78" activeCellId="0" sqref="A78"/>
      <selection pane="bottomRight" activeCell="B96" activeCellId="0" sqref="B96"/>
    </sheetView>
  </sheetViews>
  <sheetFormatPr defaultColWidth="8.8046875" defaultRowHeight="12.8" zeroHeight="false" outlineLevelRow="1" outlineLevelCol="1"/>
  <cols>
    <col collapsed="false" customWidth="true" hidden="false" outlineLevel="0" max="1" min="1" style="1" width="7.23"/>
    <col collapsed="false" customWidth="true" hidden="false" outlineLevel="0" max="2" min="2" style="1" width="58.8"/>
    <col collapsed="false" customWidth="true" hidden="false" outlineLevel="0" max="3" min="3" style="1" width="14.23"/>
    <col collapsed="false" customWidth="true" hidden="false" outlineLevel="0" max="4" min="4" style="1" width="20.51"/>
    <col collapsed="false" customWidth="true" hidden="false" outlineLevel="0" max="5" min="5" style="1" width="15.95"/>
    <col collapsed="false" customWidth="true" hidden="false" outlineLevel="0" max="6" min="6" style="1" width="20.24"/>
    <col collapsed="false" customWidth="true" hidden="false" outlineLevel="0" max="7" min="7" style="1" width="23.37"/>
    <col collapsed="false" customWidth="true" hidden="false" outlineLevel="0" max="8" min="8" style="1" width="26.09"/>
    <col collapsed="false" customWidth="true" hidden="false" outlineLevel="0" max="9" min="9" style="1" width="28.09"/>
    <col collapsed="false" customWidth="true" hidden="false" outlineLevel="0" max="10" min="10" style="1" width="27.23"/>
    <col collapsed="false" customWidth="true" hidden="false" outlineLevel="0" max="11" min="11" style="1" width="21.23"/>
    <col collapsed="false" customWidth="true" hidden="false" outlineLevel="0" max="12" min="12" style="1" width="24.23"/>
    <col collapsed="false" customWidth="true" hidden="false" outlineLevel="0" max="13" min="13" style="1" width="27.51"/>
    <col collapsed="false" customWidth="true" hidden="false" outlineLevel="0" max="14" min="14" style="1" width="26.37"/>
    <col collapsed="false" customWidth="true" hidden="false" outlineLevel="0" max="17" min="15" style="1" width="23.37"/>
    <col collapsed="false" customWidth="true" hidden="false" outlineLevel="0" max="18" min="18" style="1" width="40.66"/>
    <col collapsed="false" customWidth="true" hidden="false" outlineLevel="1" max="22" min="20" style="1" width="12.95"/>
  </cols>
  <sheetData>
    <row r="1" customFormat="false" ht="15" hidden="true" customHeight="true" outlineLevel="0" collapsed="false">
      <c r="O1" s="2" t="s">
        <v>0</v>
      </c>
      <c r="P1" s="2"/>
      <c r="Q1" s="2"/>
      <c r="R1" s="2"/>
    </row>
    <row r="2" customFormat="false" ht="32.25" hidden="true" customHeight="true" outlineLevel="0" collapsed="false">
      <c r="O2" s="3" t="s">
        <v>1</v>
      </c>
      <c r="P2" s="3"/>
      <c r="Q2" s="3"/>
      <c r="R2" s="3"/>
    </row>
    <row r="3" customFormat="false" ht="25.5" hidden="true" customHeight="true" outlineLevel="0" collapsed="false">
      <c r="A3" s="4" t="s">
        <v>2</v>
      </c>
      <c r="B3" s="4"/>
      <c r="C3" s="4"/>
      <c r="D3" s="4"/>
      <c r="E3" s="4"/>
      <c r="F3" s="4"/>
      <c r="G3" s="4"/>
      <c r="H3" s="4"/>
      <c r="I3" s="4"/>
      <c r="J3" s="4"/>
      <c r="K3" s="4"/>
      <c r="L3" s="4"/>
      <c r="M3" s="4"/>
      <c r="N3" s="4"/>
      <c r="O3" s="4"/>
      <c r="P3" s="5"/>
      <c r="Q3" s="5"/>
    </row>
    <row r="4" customFormat="false" ht="17.25" hidden="true" customHeight="true" outlineLevel="0" collapsed="false">
      <c r="A4" s="6"/>
      <c r="B4" s="6"/>
      <c r="C4" s="6"/>
      <c r="D4" s="6"/>
      <c r="E4" s="6"/>
      <c r="F4" s="6"/>
      <c r="G4" s="6"/>
      <c r="H4" s="6"/>
      <c r="I4" s="6"/>
      <c r="J4" s="6"/>
      <c r="K4" s="6"/>
      <c r="L4" s="6"/>
      <c r="M4" s="6"/>
      <c r="N4" s="6"/>
    </row>
    <row r="5" s="8" customFormat="true" ht="28.5" hidden="true" customHeight="true" outlineLevel="0" collapsed="false">
      <c r="A5" s="7" t="s">
        <v>3</v>
      </c>
      <c r="B5" s="7"/>
      <c r="C5" s="7"/>
      <c r="D5" s="7"/>
      <c r="E5" s="7"/>
      <c r="F5" s="7"/>
      <c r="G5" s="7"/>
      <c r="H5" s="7"/>
      <c r="I5" s="7"/>
      <c r="J5" s="7"/>
      <c r="K5" s="7"/>
      <c r="L5" s="7"/>
      <c r="M5" s="7"/>
      <c r="N5" s="7"/>
      <c r="O5" s="7"/>
      <c r="P5" s="7"/>
    </row>
    <row r="6" s="8" customFormat="true" ht="15" hidden="true" customHeight="true" outlineLevel="0" collapsed="false"/>
    <row r="7" s="8" customFormat="true" ht="15.75" hidden="false" customHeight="true" outlineLevel="0" collapsed="false">
      <c r="A7" s="9" t="s">
        <v>4</v>
      </c>
      <c r="B7" s="10" t="s">
        <v>5</v>
      </c>
      <c r="C7" s="11" t="s">
        <v>6</v>
      </c>
      <c r="D7" s="11" t="s">
        <v>7</v>
      </c>
      <c r="E7" s="12" t="s">
        <v>8</v>
      </c>
      <c r="F7" s="13" t="s">
        <v>9</v>
      </c>
      <c r="G7" s="13"/>
      <c r="H7" s="13"/>
      <c r="I7" s="13" t="s">
        <v>10</v>
      </c>
      <c r="J7" s="13"/>
      <c r="K7" s="13"/>
      <c r="L7" s="14" t="s">
        <v>11</v>
      </c>
      <c r="M7" s="14"/>
      <c r="N7" s="14"/>
      <c r="O7" s="15" t="s">
        <v>12</v>
      </c>
      <c r="P7" s="16" t="s">
        <v>13</v>
      </c>
      <c r="Q7" s="15" t="s">
        <v>14</v>
      </c>
      <c r="R7" s="11" t="s">
        <v>15</v>
      </c>
      <c r="T7" s="17" t="s">
        <v>16</v>
      </c>
      <c r="U7" s="17"/>
      <c r="V7" s="17"/>
    </row>
    <row r="8" s="8" customFormat="true" ht="15" hidden="false" customHeight="true" outlineLevel="0" collapsed="false">
      <c r="A8" s="9"/>
      <c r="B8" s="9"/>
      <c r="C8" s="9"/>
      <c r="D8" s="9"/>
      <c r="E8" s="12"/>
      <c r="F8" s="13"/>
      <c r="G8" s="13"/>
      <c r="H8" s="13"/>
      <c r="I8" s="13"/>
      <c r="J8" s="13"/>
      <c r="K8" s="13"/>
      <c r="L8" s="14"/>
      <c r="M8" s="14"/>
      <c r="N8" s="14"/>
      <c r="O8" s="15"/>
      <c r="P8" s="16"/>
      <c r="Q8" s="15"/>
      <c r="R8" s="11"/>
      <c r="T8" s="17"/>
      <c r="U8" s="17"/>
      <c r="V8" s="17"/>
    </row>
    <row r="9" s="21" customFormat="true" ht="94.5" hidden="false" customHeight="true" outlineLevel="0" collapsed="false">
      <c r="A9" s="9"/>
      <c r="B9" s="9"/>
      <c r="C9" s="11"/>
      <c r="D9" s="11"/>
      <c r="E9" s="12"/>
      <c r="F9" s="18" t="s">
        <v>17</v>
      </c>
      <c r="G9" s="19" t="s">
        <v>18</v>
      </c>
      <c r="H9" s="19" t="s">
        <v>19</v>
      </c>
      <c r="I9" s="18" t="s">
        <v>17</v>
      </c>
      <c r="J9" s="19" t="s">
        <v>18</v>
      </c>
      <c r="K9" s="19" t="s">
        <v>19</v>
      </c>
      <c r="L9" s="18" t="s">
        <v>17</v>
      </c>
      <c r="M9" s="19" t="s">
        <v>18</v>
      </c>
      <c r="N9" s="19" t="s">
        <v>20</v>
      </c>
      <c r="O9" s="15"/>
      <c r="P9" s="16"/>
      <c r="Q9" s="15"/>
      <c r="R9" s="11"/>
      <c r="S9" s="8"/>
      <c r="T9" s="20" t="s">
        <v>9</v>
      </c>
      <c r="U9" s="20" t="s">
        <v>10</v>
      </c>
      <c r="V9" s="20" t="s">
        <v>11</v>
      </c>
      <c r="W9" s="8"/>
      <c r="X9" s="8"/>
      <c r="Y9" s="8"/>
      <c r="Z9" s="8"/>
      <c r="AA9" s="8"/>
      <c r="AB9" s="8"/>
      <c r="AC9" s="8"/>
      <c r="AD9" s="8"/>
      <c r="AE9" s="8"/>
      <c r="AF9" s="8"/>
      <c r="AG9" s="8"/>
      <c r="AH9" s="8"/>
      <c r="AI9" s="8"/>
    </row>
    <row r="10" s="26" customFormat="true" ht="15" hidden="false" customHeight="true" outlineLevel="0" collapsed="false">
      <c r="A10" s="22" t="n">
        <v>1</v>
      </c>
      <c r="B10" s="23" t="n">
        <v>2</v>
      </c>
      <c r="C10" s="24" t="n">
        <v>3</v>
      </c>
      <c r="D10" s="24" t="n">
        <v>4</v>
      </c>
      <c r="E10" s="24"/>
      <c r="F10" s="25" t="n">
        <v>5</v>
      </c>
      <c r="G10" s="25" t="n">
        <v>6</v>
      </c>
      <c r="H10" s="23" t="n">
        <v>7</v>
      </c>
      <c r="I10" s="25" t="n">
        <v>8</v>
      </c>
      <c r="J10" s="23" t="n">
        <v>9</v>
      </c>
      <c r="K10" s="23" t="n">
        <v>10</v>
      </c>
      <c r="L10" s="25" t="n">
        <v>11</v>
      </c>
      <c r="M10" s="23" t="n">
        <v>12</v>
      </c>
      <c r="N10" s="23" t="n">
        <v>12</v>
      </c>
      <c r="O10" s="25" t="n">
        <v>15</v>
      </c>
      <c r="P10" s="25" t="n">
        <v>16</v>
      </c>
      <c r="Q10" s="25" t="n">
        <v>17</v>
      </c>
      <c r="R10" s="25" t="n">
        <v>18</v>
      </c>
      <c r="T10" s="27"/>
      <c r="U10" s="27"/>
      <c r="V10" s="27"/>
    </row>
    <row r="11" s="38" customFormat="true" ht="105" hidden="false" customHeight="true" outlineLevel="0" collapsed="false">
      <c r="A11" s="28" t="n">
        <v>1</v>
      </c>
      <c r="B11" s="29" t="s">
        <v>21</v>
      </c>
      <c r="C11" s="30" t="s">
        <v>22</v>
      </c>
      <c r="D11" s="31" t="n">
        <v>5182.5</v>
      </c>
      <c r="E11" s="32" t="n">
        <f aca="false">O11</f>
        <v>4.48</v>
      </c>
      <c r="F11" s="33" t="s">
        <v>23</v>
      </c>
      <c r="G11" s="34" t="n">
        <f aca="false">470/85/1.2*1.05</f>
        <v>4.84</v>
      </c>
      <c r="H11" s="34" t="n">
        <f aca="false">D11*G11</f>
        <v>25083.3</v>
      </c>
      <c r="I11" s="33" t="s">
        <v>24</v>
      </c>
      <c r="J11" s="34" t="n">
        <f aca="false">415/85/1.2*1.05</f>
        <v>4.27</v>
      </c>
      <c r="K11" s="34" t="n">
        <f aca="false">D11*J11</f>
        <v>22129.28</v>
      </c>
      <c r="L11" s="33" t="s">
        <v>25</v>
      </c>
      <c r="M11" s="34" t="n">
        <f aca="false">420/85/1.2*1.05</f>
        <v>4.32</v>
      </c>
      <c r="N11" s="34" t="n">
        <f aca="false">D11*M11</f>
        <v>22388.4</v>
      </c>
      <c r="O11" s="35" t="n">
        <f aca="false">AVERAGE(G11,J11,M11)</f>
        <v>4.48</v>
      </c>
      <c r="P11" s="36" t="n">
        <f aca="false">E11*100/O11-100</f>
        <v>0</v>
      </c>
      <c r="Q11" s="35" t="n">
        <f aca="false">O11*D11</f>
        <v>23217.6</v>
      </c>
      <c r="R11" s="37"/>
      <c r="T11" s="39" t="n">
        <f aca="false">ROUND(G11*100/O11-100,0)</f>
        <v>8</v>
      </c>
      <c r="U11" s="39" t="n">
        <f aca="false">ROUND(J11*100/O11-100,0)</f>
        <v>-5</v>
      </c>
      <c r="V11" s="39" t="n">
        <f aca="false">ROUND(M11*100/O11-100,0)</f>
        <v>-4</v>
      </c>
    </row>
    <row r="12" s="38" customFormat="true" ht="195" hidden="false" customHeight="true" outlineLevel="0" collapsed="false">
      <c r="A12" s="28" t="n">
        <v>2</v>
      </c>
      <c r="B12" s="29" t="s">
        <v>26</v>
      </c>
      <c r="C12" s="30" t="s">
        <v>27</v>
      </c>
      <c r="D12" s="31" t="n">
        <v>8</v>
      </c>
      <c r="E12" s="32" t="n">
        <f aca="false">O12</f>
        <v>792.87</v>
      </c>
      <c r="F12" s="33" t="s">
        <v>28</v>
      </c>
      <c r="G12" s="34" t="n">
        <f aca="false">1628/1.9/1.2*1.05</f>
        <v>749.74</v>
      </c>
      <c r="H12" s="34" t="n">
        <f aca="false">D12*G12</f>
        <v>5997.92</v>
      </c>
      <c r="I12" s="33" t="s">
        <v>29</v>
      </c>
      <c r="J12" s="34" t="n">
        <f aca="false">1770/1.9/1.2*1.05</f>
        <v>815.13</v>
      </c>
      <c r="K12" s="34" t="n">
        <f aca="false">D12*J12</f>
        <v>6521.04</v>
      </c>
      <c r="L12" s="33" t="s">
        <v>30</v>
      </c>
      <c r="M12" s="34" t="n">
        <f aca="false">837/0.9/1.2*1.05</f>
        <v>813.75</v>
      </c>
      <c r="N12" s="34" t="n">
        <f aca="false">D12*M12</f>
        <v>6510</v>
      </c>
      <c r="O12" s="35" t="n">
        <f aca="false">AVERAGE(G12,J12,M12)</f>
        <v>792.87</v>
      </c>
      <c r="P12" s="36" t="n">
        <f aca="false">E12*100/O12-100</f>
        <v>0</v>
      </c>
      <c r="Q12" s="35" t="n">
        <f aca="false">O12*D12</f>
        <v>6342.96</v>
      </c>
      <c r="R12" s="37"/>
      <c r="T12" s="39" t="n">
        <f aca="false">ROUND(G12*100/O12-100,0)</f>
        <v>-5</v>
      </c>
      <c r="U12" s="39" t="n">
        <f aca="false">ROUND(J12*100/O12-100,0)</f>
        <v>3</v>
      </c>
      <c r="V12" s="39" t="n">
        <f aca="false">ROUND(M12*100/O12-100,0)</f>
        <v>3</v>
      </c>
    </row>
    <row r="13" s="38" customFormat="true" ht="180" hidden="false" customHeight="true" outlineLevel="0" collapsed="false">
      <c r="A13" s="28" t="n">
        <v>3</v>
      </c>
      <c r="B13" s="29" t="s">
        <v>31</v>
      </c>
      <c r="C13" s="30" t="s">
        <v>27</v>
      </c>
      <c r="D13" s="31" t="n">
        <v>15</v>
      </c>
      <c r="E13" s="32" t="n">
        <f aca="false">O13</f>
        <v>922.31</v>
      </c>
      <c r="F13" s="33" t="s">
        <v>32</v>
      </c>
      <c r="G13" s="34" t="n">
        <f aca="false">945/0.9/1.2*1.05</f>
        <v>918.75</v>
      </c>
      <c r="H13" s="34" t="n">
        <f aca="false">D13*G13</f>
        <v>13781.25</v>
      </c>
      <c r="I13" s="33" t="s">
        <v>33</v>
      </c>
      <c r="J13" s="34" t="n">
        <f aca="false">990/0.9/1.2*1.05</f>
        <v>962.5</v>
      </c>
      <c r="K13" s="34" t="n">
        <f aca="false">D13*J13</f>
        <v>14437.5</v>
      </c>
      <c r="L13" s="33" t="s">
        <v>34</v>
      </c>
      <c r="M13" s="34" t="n">
        <f aca="false">911/0.9/1.2*1.05</f>
        <v>885.69</v>
      </c>
      <c r="N13" s="34" t="n">
        <f aca="false">D13*M13</f>
        <v>13285.35</v>
      </c>
      <c r="O13" s="35" t="n">
        <f aca="false">AVERAGE(G13,J13,M13)</f>
        <v>922.31</v>
      </c>
      <c r="P13" s="36" t="n">
        <f aca="false">E13*100/O13-100</f>
        <v>0</v>
      </c>
      <c r="Q13" s="35" t="n">
        <f aca="false">O13*D13</f>
        <v>13834.65</v>
      </c>
      <c r="R13" s="37"/>
      <c r="T13" s="39" t="n">
        <f aca="false">ROUND(G13*100/O13-100,0)</f>
        <v>-0</v>
      </c>
      <c r="U13" s="39" t="n">
        <f aca="false">ROUND(J13*100/O13-100,0)</f>
        <v>4</v>
      </c>
      <c r="V13" s="39" t="n">
        <f aca="false">ROUND(M13*100/O13-100,0)</f>
        <v>-4</v>
      </c>
    </row>
    <row r="14" s="38" customFormat="true" ht="180" hidden="false" customHeight="true" outlineLevel="0" collapsed="false">
      <c r="A14" s="28" t="n">
        <v>4</v>
      </c>
      <c r="B14" s="29" t="s">
        <v>35</v>
      </c>
      <c r="C14" s="30" t="s">
        <v>27</v>
      </c>
      <c r="D14" s="31" t="n">
        <v>6</v>
      </c>
      <c r="E14" s="32" t="n">
        <f aca="false">O14</f>
        <v>851.99</v>
      </c>
      <c r="F14" s="33" t="s">
        <v>36</v>
      </c>
      <c r="G14" s="34" t="n">
        <f aca="false">920/0.9/1.2*1.05</f>
        <v>894.44</v>
      </c>
      <c r="H14" s="34" t="n">
        <f aca="false">D14*G14</f>
        <v>5366.64</v>
      </c>
      <c r="I14" s="33" t="s">
        <v>37</v>
      </c>
      <c r="J14" s="34" t="n">
        <f aca="false">902/0.9/1.2*1.05</f>
        <v>876.94</v>
      </c>
      <c r="K14" s="34" t="n">
        <f aca="false">D14*J14</f>
        <v>5261.64</v>
      </c>
      <c r="L14" s="33" t="s">
        <v>38</v>
      </c>
      <c r="M14" s="34" t="n">
        <f aca="false">807/0.9/1.2*1.05</f>
        <v>784.58</v>
      </c>
      <c r="N14" s="34" t="n">
        <f aca="false">D14*M14</f>
        <v>4707.48</v>
      </c>
      <c r="O14" s="35" t="n">
        <f aca="false">AVERAGE(G14,J14,M14)</f>
        <v>851.99</v>
      </c>
      <c r="P14" s="36" t="n">
        <f aca="false">E14*100/O14-100</f>
        <v>0</v>
      </c>
      <c r="Q14" s="35" t="n">
        <f aca="false">O14*D14</f>
        <v>5111.94</v>
      </c>
      <c r="R14" s="37"/>
      <c r="T14" s="39" t="n">
        <f aca="false">ROUND(G14*100/O14-100,0)</f>
        <v>5</v>
      </c>
      <c r="U14" s="39" t="n">
        <f aca="false">ROUND(J14*100/O14-100,0)</f>
        <v>3</v>
      </c>
      <c r="V14" s="39" t="n">
        <f aca="false">ROUND(M14*100/O14-100,0)</f>
        <v>-8</v>
      </c>
    </row>
    <row r="15" s="38" customFormat="true" ht="89.25" hidden="false" customHeight="true" outlineLevel="0" collapsed="false">
      <c r="A15" s="28" t="n">
        <v>5</v>
      </c>
      <c r="B15" s="29" t="s">
        <v>39</v>
      </c>
      <c r="C15" s="30" t="s">
        <v>40</v>
      </c>
      <c r="D15" s="31" t="n">
        <v>320</v>
      </c>
      <c r="E15" s="32" t="n">
        <f aca="false">O15</f>
        <v>9.74</v>
      </c>
      <c r="F15" s="33" t="s">
        <v>41</v>
      </c>
      <c r="G15" s="34" t="n">
        <f aca="false">9.5*1.05</f>
        <v>9.98</v>
      </c>
      <c r="H15" s="34" t="n">
        <f aca="false">D15*G15</f>
        <v>3193.6</v>
      </c>
      <c r="I15" s="40" t="s">
        <v>42</v>
      </c>
      <c r="J15" s="34" t="n">
        <f aca="false">10*1.05</f>
        <v>10.5</v>
      </c>
      <c r="K15" s="34" t="n">
        <f aca="false">D15*J15</f>
        <v>3360</v>
      </c>
      <c r="L15" s="33" t="s">
        <v>43</v>
      </c>
      <c r="M15" s="34" t="n">
        <f aca="false">10/1.2*1.05</f>
        <v>8.75</v>
      </c>
      <c r="N15" s="34" t="n">
        <f aca="false">D15*M15</f>
        <v>2800</v>
      </c>
      <c r="O15" s="35" t="n">
        <f aca="false">AVERAGE(G15,J15,M15)</f>
        <v>9.74</v>
      </c>
      <c r="P15" s="36" t="n">
        <f aca="false">E15*100/O15-100</f>
        <v>0</v>
      </c>
      <c r="Q15" s="35" t="n">
        <f aca="false">O15*D15</f>
        <v>3116.8</v>
      </c>
      <c r="R15" s="37"/>
      <c r="T15" s="39" t="n">
        <f aca="false">ROUND(G15*100/O15-100,0)</f>
        <v>2</v>
      </c>
      <c r="U15" s="39" t="n">
        <f aca="false">ROUND(J15*100/O15-100,0)</f>
        <v>8</v>
      </c>
      <c r="V15" s="39" t="n">
        <f aca="false">ROUND(M15*100/O15-100,0)</f>
        <v>-10</v>
      </c>
    </row>
    <row r="16" s="38" customFormat="true" ht="75" hidden="false" customHeight="true" outlineLevel="0" collapsed="false">
      <c r="A16" s="28" t="n">
        <v>6</v>
      </c>
      <c r="B16" s="29" t="s">
        <v>44</v>
      </c>
      <c r="C16" s="30" t="s">
        <v>40</v>
      </c>
      <c r="D16" s="31" t="n">
        <v>45</v>
      </c>
      <c r="E16" s="32" t="n">
        <f aca="false">O16</f>
        <v>384.33</v>
      </c>
      <c r="F16" s="33" t="s">
        <v>45</v>
      </c>
      <c r="G16" s="34" t="n">
        <f aca="false">403/1.2*1.05</f>
        <v>352.63</v>
      </c>
      <c r="H16" s="34" t="n">
        <f aca="false">D16*G16</f>
        <v>15868.35</v>
      </c>
      <c r="I16" s="33" t="s">
        <v>46</v>
      </c>
      <c r="J16" s="34" t="n">
        <f aca="false">447.95/1.2*1.05</f>
        <v>391.96</v>
      </c>
      <c r="K16" s="34" t="n">
        <f aca="false">D16*J16</f>
        <v>17638.2</v>
      </c>
      <c r="L16" s="33" t="s">
        <v>47</v>
      </c>
      <c r="M16" s="34" t="n">
        <f aca="false">466.74/1.2*1.05</f>
        <v>408.4</v>
      </c>
      <c r="N16" s="34" t="n">
        <f aca="false">D16*M16</f>
        <v>18378</v>
      </c>
      <c r="O16" s="35" t="n">
        <f aca="false">AVERAGE(G16,J16,M16)</f>
        <v>384.33</v>
      </c>
      <c r="P16" s="36" t="n">
        <f aca="false">E16*100/O16-100</f>
        <v>0</v>
      </c>
      <c r="Q16" s="35" t="n">
        <f aca="false">O16*D16</f>
        <v>17294.85</v>
      </c>
      <c r="R16" s="37"/>
      <c r="T16" s="39" t="n">
        <f aca="false">ROUND(G16*100/O16-100,0)</f>
        <v>-8</v>
      </c>
      <c r="U16" s="39" t="n">
        <f aca="false">ROUND(J16*100/O16-100,0)</f>
        <v>2</v>
      </c>
      <c r="V16" s="39" t="n">
        <f aca="false">ROUND(M16*100/O16-100,0)</f>
        <v>6</v>
      </c>
    </row>
    <row r="17" s="38" customFormat="true" ht="195" hidden="false" customHeight="true" outlineLevel="0" collapsed="false">
      <c r="A17" s="28" t="n">
        <v>7</v>
      </c>
      <c r="B17" s="29" t="s">
        <v>48</v>
      </c>
      <c r="C17" s="30" t="s">
        <v>40</v>
      </c>
      <c r="D17" s="31" t="n">
        <v>20</v>
      </c>
      <c r="E17" s="32" t="n">
        <f aca="false">O17</f>
        <v>1072.31</v>
      </c>
      <c r="F17" s="33" t="s">
        <v>49</v>
      </c>
      <c r="G17" s="34" t="n">
        <f aca="false">1141/1.2*1.05</f>
        <v>998.38</v>
      </c>
      <c r="H17" s="34" t="n">
        <f aca="false">D17*G17</f>
        <v>19967.6</v>
      </c>
      <c r="I17" s="33" t="s">
        <v>50</v>
      </c>
      <c r="J17" s="34" t="n">
        <f aca="false">1365/1.2*1.05</f>
        <v>1194.38</v>
      </c>
      <c r="K17" s="34" t="n">
        <f aca="false">D17*J17</f>
        <v>23887.6</v>
      </c>
      <c r="L17" s="33" t="s">
        <v>51</v>
      </c>
      <c r="M17" s="34" t="n">
        <f aca="false">1170.49/1.2*1.05</f>
        <v>1024.18</v>
      </c>
      <c r="N17" s="34" t="n">
        <f aca="false">D17*M17</f>
        <v>20483.6</v>
      </c>
      <c r="O17" s="35" t="n">
        <f aca="false">AVERAGE(G17,J17,M17)</f>
        <v>1072.31</v>
      </c>
      <c r="P17" s="36" t="n">
        <f aca="false">E17*100/O17-100</f>
        <v>0</v>
      </c>
      <c r="Q17" s="35" t="n">
        <f aca="false">O17*D17</f>
        <v>21446.2</v>
      </c>
      <c r="R17" s="37"/>
      <c r="T17" s="39" t="n">
        <f aca="false">ROUND(G17*100/O17-100,0)</f>
        <v>-7</v>
      </c>
      <c r="U17" s="39" t="n">
        <f aca="false">ROUND(J17*100/O17-100,0)</f>
        <v>11</v>
      </c>
      <c r="V17" s="39" t="n">
        <f aca="false">ROUND(M17*100/O17-100,0)</f>
        <v>-4</v>
      </c>
    </row>
    <row r="18" s="38" customFormat="true" ht="195" hidden="false" customHeight="true" outlineLevel="0" collapsed="false">
      <c r="A18" s="28" t="n">
        <v>8</v>
      </c>
      <c r="B18" s="29" t="s">
        <v>52</v>
      </c>
      <c r="C18" s="30" t="s">
        <v>40</v>
      </c>
      <c r="D18" s="31" t="n">
        <v>25</v>
      </c>
      <c r="E18" s="32" t="n">
        <f aca="false">O18</f>
        <v>523.67</v>
      </c>
      <c r="F18" s="33" t="s">
        <v>53</v>
      </c>
      <c r="G18" s="34" t="n">
        <f aca="false">603.53/1.2*1.05</f>
        <v>528.09</v>
      </c>
      <c r="H18" s="34" t="n">
        <f aca="false">D18*G18</f>
        <v>13202.25</v>
      </c>
      <c r="I18" s="33" t="s">
        <v>54</v>
      </c>
      <c r="J18" s="34" t="n">
        <f aca="false">588.38/1.2*1.05</f>
        <v>514.83</v>
      </c>
      <c r="K18" s="34" t="n">
        <f aca="false">D18*J18</f>
        <v>12870.75</v>
      </c>
      <c r="L18" s="33" t="s">
        <v>55</v>
      </c>
      <c r="M18" s="34" t="n">
        <f aca="false">603.53/1.2*1.05</f>
        <v>528.09</v>
      </c>
      <c r="N18" s="34" t="n">
        <f aca="false">D18*M18</f>
        <v>13202.25</v>
      </c>
      <c r="O18" s="35" t="n">
        <f aca="false">AVERAGE(G18,J18,M18)</f>
        <v>523.67</v>
      </c>
      <c r="P18" s="36" t="n">
        <f aca="false">E18*100/O18-100</f>
        <v>0</v>
      </c>
      <c r="Q18" s="35" t="n">
        <f aca="false">O18*D18</f>
        <v>13091.75</v>
      </c>
      <c r="R18" s="37"/>
      <c r="T18" s="39" t="n">
        <f aca="false">ROUND(G18*100/O18-100,0)</f>
        <v>1</v>
      </c>
      <c r="U18" s="39" t="n">
        <f aca="false">ROUND(J18*100/O18-100,0)</f>
        <v>-2</v>
      </c>
      <c r="V18" s="39" t="n">
        <f aca="false">ROUND(M18*100/O18-100,0)</f>
        <v>1</v>
      </c>
    </row>
    <row r="19" s="38" customFormat="true" ht="165" hidden="false" customHeight="true" outlineLevel="0" collapsed="false">
      <c r="A19" s="28" t="n">
        <v>9</v>
      </c>
      <c r="B19" s="29" t="s">
        <v>56</v>
      </c>
      <c r="C19" s="30" t="s">
        <v>40</v>
      </c>
      <c r="D19" s="31" t="n">
        <v>15</v>
      </c>
      <c r="E19" s="32" t="n">
        <f aca="false">O19</f>
        <v>758.35</v>
      </c>
      <c r="F19" s="33" t="s">
        <v>53</v>
      </c>
      <c r="G19" s="34" t="n">
        <f aca="false">874/1.2*1.05</f>
        <v>764.75</v>
      </c>
      <c r="H19" s="34" t="n">
        <f aca="false">D19*G19</f>
        <v>11471.25</v>
      </c>
      <c r="I19" s="33" t="s">
        <v>57</v>
      </c>
      <c r="J19" s="34" t="n">
        <f aca="false">852.07/1.2*1.05</f>
        <v>745.56</v>
      </c>
      <c r="K19" s="34" t="n">
        <f aca="false">D19*J19</f>
        <v>11183.4</v>
      </c>
      <c r="L19" s="33" t="s">
        <v>58</v>
      </c>
      <c r="M19" s="34" t="n">
        <f aca="false">874/1.2*1.05</f>
        <v>764.75</v>
      </c>
      <c r="N19" s="34" t="n">
        <f aca="false">D19*M19</f>
        <v>11471.25</v>
      </c>
      <c r="O19" s="35" t="n">
        <f aca="false">AVERAGE(G19,J19,M19)</f>
        <v>758.35</v>
      </c>
      <c r="P19" s="36" t="n">
        <f aca="false">E19*100/O19-100</f>
        <v>0</v>
      </c>
      <c r="Q19" s="35" t="n">
        <f aca="false">O19*D19</f>
        <v>11375.25</v>
      </c>
      <c r="R19" s="37"/>
      <c r="T19" s="39" t="n">
        <f aca="false">ROUND(G19*100/O19-100,0)</f>
        <v>1</v>
      </c>
      <c r="U19" s="39" t="n">
        <f aca="false">ROUND(J19*100/O19-100,0)</f>
        <v>-2</v>
      </c>
      <c r="V19" s="39" t="n">
        <f aca="false">ROUND(M19*100/O19-100,0)</f>
        <v>1</v>
      </c>
    </row>
    <row r="20" s="38" customFormat="true" ht="114.75" hidden="false" customHeight="true" outlineLevel="0" collapsed="false">
      <c r="A20" s="28" t="n">
        <v>10</v>
      </c>
      <c r="B20" s="29" t="s">
        <v>59</v>
      </c>
      <c r="C20" s="30" t="s">
        <v>40</v>
      </c>
      <c r="D20" s="31" t="n">
        <v>395</v>
      </c>
      <c r="E20" s="32" t="n">
        <f aca="false">O20</f>
        <v>91.35</v>
      </c>
      <c r="F20" s="40" t="s">
        <v>60</v>
      </c>
      <c r="G20" s="34" t="n">
        <f aca="false">111.84/1.2*1.05</f>
        <v>97.86</v>
      </c>
      <c r="H20" s="34" t="n">
        <f aca="false">D20*G20</f>
        <v>38654.7</v>
      </c>
      <c r="I20" s="40" t="s">
        <v>61</v>
      </c>
      <c r="J20" s="34" t="n">
        <f aca="false">94.34/1.2*1.05</f>
        <v>82.55</v>
      </c>
      <c r="K20" s="34" t="n">
        <f aca="false">D20*J20</f>
        <v>32607.25</v>
      </c>
      <c r="L20" s="40" t="s">
        <v>62</v>
      </c>
      <c r="M20" s="34" t="n">
        <f aca="false">107/1.2*1.05</f>
        <v>93.63</v>
      </c>
      <c r="N20" s="34" t="n">
        <f aca="false">D20*M20</f>
        <v>36983.85</v>
      </c>
      <c r="O20" s="35" t="n">
        <f aca="false">AVERAGE(G20,J20,M20)</f>
        <v>91.35</v>
      </c>
      <c r="P20" s="36" t="n">
        <f aca="false">E20*100/O20-100</f>
        <v>0</v>
      </c>
      <c r="Q20" s="35" t="n">
        <f aca="false">O20*D20</f>
        <v>36083.25</v>
      </c>
      <c r="R20" s="37"/>
      <c r="T20" s="39" t="n">
        <f aca="false">ROUND(G20*100/O20-100,0)</f>
        <v>7</v>
      </c>
      <c r="U20" s="39" t="n">
        <f aca="false">ROUND(J20*100/O20-100,0)</f>
        <v>-10</v>
      </c>
      <c r="V20" s="39" t="n">
        <f aca="false">ROUND(M20*100/O20-100,0)</f>
        <v>2</v>
      </c>
    </row>
    <row r="21" s="38" customFormat="true" ht="120" hidden="false" customHeight="true" outlineLevel="0" collapsed="false">
      <c r="A21" s="28" t="n">
        <v>11</v>
      </c>
      <c r="B21" s="29" t="s">
        <v>63</v>
      </c>
      <c r="C21" s="30" t="s">
        <v>64</v>
      </c>
      <c r="D21" s="31" t="n">
        <v>20</v>
      </c>
      <c r="E21" s="32" t="n">
        <f aca="false">O21</f>
        <v>308.75</v>
      </c>
      <c r="F21" s="41" t="s">
        <v>65</v>
      </c>
      <c r="G21" s="34" t="n">
        <f aca="false">383/1.2*1.05</f>
        <v>335.13</v>
      </c>
      <c r="H21" s="34" t="n">
        <f aca="false">D21*G21</f>
        <v>6702.6</v>
      </c>
      <c r="I21" s="41" t="s">
        <v>66</v>
      </c>
      <c r="J21" s="34" t="n">
        <f aca="false">1605/5/1.2*1.05</f>
        <v>280.88</v>
      </c>
      <c r="K21" s="34" t="n">
        <f aca="false">D21*J21</f>
        <v>5617.6</v>
      </c>
      <c r="L21" s="41" t="s">
        <v>67</v>
      </c>
      <c r="M21" s="34" t="n">
        <f aca="false">70200/198/1.2*1.05</f>
        <v>310.23</v>
      </c>
      <c r="N21" s="34" t="n">
        <f aca="false">D21*M21</f>
        <v>6204.6</v>
      </c>
      <c r="O21" s="35" t="n">
        <f aca="false">AVERAGE(G21,J21,M21)</f>
        <v>308.75</v>
      </c>
      <c r="P21" s="36" t="n">
        <f aca="false">E21*100/O21-100</f>
        <v>0</v>
      </c>
      <c r="Q21" s="35" t="n">
        <f aca="false">O21*D21</f>
        <v>6175</v>
      </c>
      <c r="R21" s="37"/>
      <c r="T21" s="39" t="n">
        <f aca="false">ROUND(G21*100/O21-100,0)</f>
        <v>9</v>
      </c>
      <c r="U21" s="39" t="n">
        <f aca="false">ROUND(J21*100/O21-100,0)</f>
        <v>-9</v>
      </c>
      <c r="V21" s="39" t="n">
        <f aca="false">ROUND(M21*100/O21-100,0)</f>
        <v>0</v>
      </c>
    </row>
    <row r="22" s="38" customFormat="true" ht="60" hidden="false" customHeight="true" outlineLevel="0" collapsed="false">
      <c r="A22" s="28" t="n">
        <v>12</v>
      </c>
      <c r="B22" s="29" t="s">
        <v>68</v>
      </c>
      <c r="C22" s="30" t="s">
        <v>40</v>
      </c>
      <c r="D22" s="31" t="n">
        <v>10</v>
      </c>
      <c r="E22" s="32" t="n">
        <f aca="false">O22</f>
        <v>7796.25</v>
      </c>
      <c r="F22" s="40" t="s">
        <v>69</v>
      </c>
      <c r="G22" s="34" t="n">
        <f aca="false">8808/1.2*1.05</f>
        <v>7707</v>
      </c>
      <c r="H22" s="34" t="n">
        <f aca="false">D22*G22</f>
        <v>77070</v>
      </c>
      <c r="I22" s="40" t="s">
        <v>70</v>
      </c>
      <c r="J22" s="34" t="n">
        <f aca="false">9307/1.2*1.05</f>
        <v>8143.63</v>
      </c>
      <c r="K22" s="34" t="n">
        <f aca="false">D22*J22</f>
        <v>81436.3</v>
      </c>
      <c r="L22" s="41" t="s">
        <v>71</v>
      </c>
      <c r="M22" s="34" t="n">
        <f aca="false">8615/1.2*1.05</f>
        <v>7538.13</v>
      </c>
      <c r="N22" s="34" t="n">
        <f aca="false">D22*M22</f>
        <v>75381.3</v>
      </c>
      <c r="O22" s="35" t="n">
        <f aca="false">AVERAGE(G22,J22,M22)</f>
        <v>7796.25</v>
      </c>
      <c r="P22" s="36" t="n">
        <f aca="false">E22*100/O22-100</f>
        <v>0</v>
      </c>
      <c r="Q22" s="35" t="n">
        <f aca="false">O22*D22</f>
        <v>77962.5</v>
      </c>
      <c r="R22" s="37"/>
      <c r="T22" s="39" t="n">
        <f aca="false">ROUND(G22*100/O22-100,0)</f>
        <v>-1</v>
      </c>
      <c r="U22" s="39" t="n">
        <f aca="false">ROUND(J22*100/O22-100,0)</f>
        <v>4</v>
      </c>
      <c r="V22" s="39" t="n">
        <f aca="false">ROUND(M22*100/O22-100,0)</f>
        <v>-3</v>
      </c>
    </row>
    <row r="23" s="38" customFormat="true" ht="89.25" hidden="false" customHeight="true" outlineLevel="0" collapsed="false">
      <c r="A23" s="28" t="n">
        <v>13</v>
      </c>
      <c r="B23" s="29" t="s">
        <v>72</v>
      </c>
      <c r="C23" s="30" t="s">
        <v>40</v>
      </c>
      <c r="D23" s="31" t="n">
        <v>20</v>
      </c>
      <c r="E23" s="32" t="n">
        <f aca="false">O23</f>
        <v>3472.58</v>
      </c>
      <c r="F23" s="40" t="s">
        <v>73</v>
      </c>
      <c r="G23" s="34" t="n">
        <f aca="false">3636/1.2*1.05</f>
        <v>3181.5</v>
      </c>
      <c r="H23" s="34" t="n">
        <f aca="false">D23*G23</f>
        <v>63630</v>
      </c>
      <c r="I23" s="40" t="s">
        <v>74</v>
      </c>
      <c r="J23" s="34" t="n">
        <f aca="false">3910/1.2*1.05</f>
        <v>3421.25</v>
      </c>
      <c r="K23" s="34" t="n">
        <f aca="false">D23*J23</f>
        <v>68425</v>
      </c>
      <c r="L23" s="40" t="s">
        <v>75</v>
      </c>
      <c r="M23" s="34" t="n">
        <f aca="false">4360/1.2*1.05</f>
        <v>3815</v>
      </c>
      <c r="N23" s="34" t="n">
        <f aca="false">D23*M23</f>
        <v>76300</v>
      </c>
      <c r="O23" s="35" t="n">
        <f aca="false">AVERAGE(G23,J23,M23)</f>
        <v>3472.58</v>
      </c>
      <c r="P23" s="36" t="n">
        <f aca="false">E23*100/O23-100</f>
        <v>0</v>
      </c>
      <c r="Q23" s="35" t="n">
        <f aca="false">O23*D23</f>
        <v>69451.6</v>
      </c>
      <c r="R23" s="37"/>
      <c r="T23" s="39" t="n">
        <f aca="false">ROUND(G23*100/O23-100,0)</f>
        <v>-8</v>
      </c>
      <c r="U23" s="39" t="n">
        <f aca="false">ROUND(J23*100/O23-100,0)</f>
        <v>-1</v>
      </c>
      <c r="V23" s="39" t="n">
        <f aca="false">ROUND(M23*100/O23-100,0)</f>
        <v>10</v>
      </c>
    </row>
    <row r="24" s="38" customFormat="true" ht="89.25" hidden="false" customHeight="true" outlineLevel="0" collapsed="false">
      <c r="A24" s="28" t="n">
        <v>14</v>
      </c>
      <c r="B24" s="29" t="s">
        <v>76</v>
      </c>
      <c r="C24" s="30" t="s">
        <v>40</v>
      </c>
      <c r="D24" s="31" t="n">
        <v>5</v>
      </c>
      <c r="E24" s="32" t="n">
        <f aca="false">O24</f>
        <v>3472.58</v>
      </c>
      <c r="F24" s="40" t="s">
        <v>73</v>
      </c>
      <c r="G24" s="34" t="n">
        <f aca="false">3636/1.2*1.05</f>
        <v>3181.5</v>
      </c>
      <c r="H24" s="34" t="n">
        <f aca="false">D24*G24</f>
        <v>15907.5</v>
      </c>
      <c r="I24" s="40" t="s">
        <v>74</v>
      </c>
      <c r="J24" s="34" t="n">
        <f aca="false">3910/1.2*1.05</f>
        <v>3421.25</v>
      </c>
      <c r="K24" s="34" t="n">
        <f aca="false">D24*J24</f>
        <v>17106.25</v>
      </c>
      <c r="L24" s="40" t="s">
        <v>75</v>
      </c>
      <c r="M24" s="34" t="n">
        <f aca="false">4360/1.2*1.05</f>
        <v>3815</v>
      </c>
      <c r="N24" s="34" t="n">
        <f aca="false">D24*M24</f>
        <v>19075</v>
      </c>
      <c r="O24" s="35" t="n">
        <f aca="false">AVERAGE(G24,J24,M24)</f>
        <v>3472.58</v>
      </c>
      <c r="P24" s="36" t="n">
        <f aca="false">E24*100/O24-100</f>
        <v>0</v>
      </c>
      <c r="Q24" s="35" t="n">
        <f aca="false">O24*D24</f>
        <v>17362.9</v>
      </c>
      <c r="R24" s="37"/>
      <c r="T24" s="39" t="n">
        <f aca="false">ROUND(G24*100/O24-100,0)</f>
        <v>-8</v>
      </c>
      <c r="U24" s="39" t="n">
        <f aca="false">ROUND(J24*100/O24-100,0)</f>
        <v>-1</v>
      </c>
      <c r="V24" s="39" t="n">
        <f aca="false">ROUND(M24*100/O24-100,0)</f>
        <v>10</v>
      </c>
    </row>
    <row r="25" s="38" customFormat="true" ht="89.25" hidden="false" customHeight="true" outlineLevel="0" collapsed="false">
      <c r="A25" s="28" t="n">
        <v>15</v>
      </c>
      <c r="B25" s="29" t="s">
        <v>77</v>
      </c>
      <c r="C25" s="30" t="s">
        <v>40</v>
      </c>
      <c r="D25" s="31" t="n">
        <v>25</v>
      </c>
      <c r="E25" s="32" t="n">
        <f aca="false">O25</f>
        <v>1604.46</v>
      </c>
      <c r="F25" s="40" t="s">
        <v>78</v>
      </c>
      <c r="G25" s="34" t="n">
        <f aca="false">1720/1.2*1.05</f>
        <v>1505</v>
      </c>
      <c r="H25" s="34" t="n">
        <f aca="false">D25*G25</f>
        <v>37625</v>
      </c>
      <c r="I25" s="40" t="s">
        <v>79</v>
      </c>
      <c r="J25" s="34" t="n">
        <f aca="false">1810/1.2*1.05</f>
        <v>1583.75</v>
      </c>
      <c r="K25" s="34" t="n">
        <f aca="false">D25*J25</f>
        <v>39593.75</v>
      </c>
      <c r="L25" s="40" t="s">
        <v>80</v>
      </c>
      <c r="M25" s="34" t="n">
        <f aca="false">1971/1.2*1.05</f>
        <v>1724.63</v>
      </c>
      <c r="N25" s="34" t="n">
        <f aca="false">D25*M25</f>
        <v>43115.75</v>
      </c>
      <c r="O25" s="35" t="n">
        <f aca="false">AVERAGE(G25,J25,M25)</f>
        <v>1604.46</v>
      </c>
      <c r="P25" s="36" t="n">
        <f aca="false">E25*100/O25-100</f>
        <v>0</v>
      </c>
      <c r="Q25" s="35" t="n">
        <f aca="false">O25*D25</f>
        <v>40111.5</v>
      </c>
      <c r="R25" s="37"/>
      <c r="T25" s="39" t="n">
        <f aca="false">ROUND(G25*100/O25-100,0)</f>
        <v>-6</v>
      </c>
      <c r="U25" s="39" t="n">
        <f aca="false">ROUND(J25*100/O25-100,0)</f>
        <v>-1</v>
      </c>
      <c r="V25" s="39" t="n">
        <f aca="false">ROUND(M25*100/O25-100,0)</f>
        <v>7</v>
      </c>
    </row>
    <row r="26" s="38" customFormat="true" ht="51" hidden="false" customHeight="true" outlineLevel="0" collapsed="false">
      <c r="A26" s="28" t="n">
        <v>16</v>
      </c>
      <c r="B26" s="29" t="s">
        <v>81</v>
      </c>
      <c r="C26" s="30" t="s">
        <v>40</v>
      </c>
      <c r="D26" s="31" t="n">
        <v>5</v>
      </c>
      <c r="E26" s="32" t="n">
        <f aca="false">O26</f>
        <v>44187.5</v>
      </c>
      <c r="F26" s="40" t="s">
        <v>82</v>
      </c>
      <c r="G26" s="34" t="n">
        <f aca="false">55900/1.2*1.05</f>
        <v>48912.5</v>
      </c>
      <c r="H26" s="34" t="n">
        <f aca="false">D26*G26</f>
        <v>244562.5</v>
      </c>
      <c r="I26" s="40" t="s">
        <v>83</v>
      </c>
      <c r="J26" s="34" t="n">
        <f aca="false">47800/1.2*1.05</f>
        <v>41825</v>
      </c>
      <c r="K26" s="34" t="n">
        <f aca="false">D26*J26</f>
        <v>209125</v>
      </c>
      <c r="L26" s="40" t="s">
        <v>84</v>
      </c>
      <c r="M26" s="34" t="n">
        <f aca="false">47800/1.2*1.05</f>
        <v>41825</v>
      </c>
      <c r="N26" s="34" t="n">
        <f aca="false">D26*M26</f>
        <v>209125</v>
      </c>
      <c r="O26" s="35" t="n">
        <f aca="false">AVERAGE(G26,J26,M26)</f>
        <v>44187.5</v>
      </c>
      <c r="P26" s="36" t="n">
        <f aca="false">E26*100/O26-100</f>
        <v>0</v>
      </c>
      <c r="Q26" s="35" t="n">
        <f aca="false">O26*D26</f>
        <v>220937.5</v>
      </c>
      <c r="R26" s="37"/>
      <c r="T26" s="39" t="n">
        <f aca="false">ROUND(G26*100/O26-100,0)</f>
        <v>11</v>
      </c>
      <c r="U26" s="39" t="n">
        <f aca="false">ROUND(J26*100/O26-100,0)</f>
        <v>-5</v>
      </c>
      <c r="V26" s="39" t="n">
        <f aca="false">ROUND(M26*100/O26-100,0)</f>
        <v>-5</v>
      </c>
    </row>
    <row r="27" s="38" customFormat="true" ht="51" hidden="false" customHeight="true" outlineLevel="0" collapsed="false">
      <c r="A27" s="28" t="n">
        <v>17</v>
      </c>
      <c r="B27" s="29" t="s">
        <v>85</v>
      </c>
      <c r="C27" s="30" t="s">
        <v>40</v>
      </c>
      <c r="D27" s="31" t="n">
        <v>5</v>
      </c>
      <c r="E27" s="32" t="n">
        <f aca="false">O27</f>
        <v>36443.75</v>
      </c>
      <c r="F27" s="40" t="s">
        <v>86</v>
      </c>
      <c r="G27" s="34" t="n">
        <f aca="false">41650/1.2*1.05</f>
        <v>36443.75</v>
      </c>
      <c r="H27" s="34" t="n">
        <f aca="false">D27*G27</f>
        <v>182218.75</v>
      </c>
      <c r="I27" s="40" t="s">
        <v>87</v>
      </c>
      <c r="J27" s="34" t="n">
        <f aca="false">41650/1.2*1.05</f>
        <v>36443.75</v>
      </c>
      <c r="K27" s="34" t="n">
        <f aca="false">D27*J27</f>
        <v>182218.75</v>
      </c>
      <c r="L27" s="33" t="s">
        <v>88</v>
      </c>
      <c r="M27" s="34" t="n">
        <f aca="false">41650/1.2*1.05</f>
        <v>36443.75</v>
      </c>
      <c r="N27" s="34" t="n">
        <f aca="false">D27*M27</f>
        <v>182218.75</v>
      </c>
      <c r="O27" s="35" t="n">
        <f aca="false">AVERAGE(G27,J27,M27)</f>
        <v>36443.75</v>
      </c>
      <c r="P27" s="36" t="n">
        <f aca="false">E27*100/O27-100</f>
        <v>0</v>
      </c>
      <c r="Q27" s="35" t="n">
        <f aca="false">O27*D27</f>
        <v>182218.75</v>
      </c>
      <c r="R27" s="37"/>
      <c r="T27" s="39" t="n">
        <f aca="false">ROUND(G27*100/O27-100,0)</f>
        <v>0</v>
      </c>
      <c r="U27" s="39" t="n">
        <f aca="false">ROUND(J27*100/O27-100,0)</f>
        <v>0</v>
      </c>
      <c r="V27" s="39" t="n">
        <f aca="false">ROUND(M27*100/O27-100,0)</f>
        <v>0</v>
      </c>
    </row>
    <row r="28" s="38" customFormat="true" ht="127.5" hidden="false" customHeight="true" outlineLevel="0" collapsed="false">
      <c r="A28" s="28" t="n">
        <v>18</v>
      </c>
      <c r="B28" s="29" t="s">
        <v>89</v>
      </c>
      <c r="C28" s="30" t="s">
        <v>40</v>
      </c>
      <c r="D28" s="31" t="n">
        <v>10</v>
      </c>
      <c r="E28" s="32" t="n">
        <f aca="false">O28</f>
        <v>420.58</v>
      </c>
      <c r="F28" s="40" t="s">
        <v>90</v>
      </c>
      <c r="G28" s="34" t="n">
        <f aca="false">480/1.2*1.05</f>
        <v>420</v>
      </c>
      <c r="H28" s="34" t="n">
        <f aca="false">D28*G28</f>
        <v>4200</v>
      </c>
      <c r="I28" s="40" t="s">
        <v>91</v>
      </c>
      <c r="J28" s="34" t="n">
        <f aca="false">452/1.2*1.05</f>
        <v>395.5</v>
      </c>
      <c r="K28" s="34" t="n">
        <f aca="false">D28*J28</f>
        <v>3955</v>
      </c>
      <c r="L28" s="40" t="s">
        <v>92</v>
      </c>
      <c r="M28" s="34" t="n">
        <f aca="false">510/1.2*1.05</f>
        <v>446.25</v>
      </c>
      <c r="N28" s="34" t="n">
        <f aca="false">D28*M28</f>
        <v>4462.5</v>
      </c>
      <c r="O28" s="35" t="n">
        <f aca="false">AVERAGE(G28,J28,M28)</f>
        <v>420.58</v>
      </c>
      <c r="P28" s="36" t="n">
        <f aca="false">E28*100/O28-100</f>
        <v>0</v>
      </c>
      <c r="Q28" s="35" t="n">
        <f aca="false">O28*D28</f>
        <v>4205.8</v>
      </c>
      <c r="R28" s="37"/>
      <c r="T28" s="39" t="n">
        <f aca="false">ROUND(G28*100/O28-100,0)</f>
        <v>-0</v>
      </c>
      <c r="U28" s="39" t="n">
        <f aca="false">ROUND(J28*100/O28-100,0)</f>
        <v>-6</v>
      </c>
      <c r="V28" s="39" t="n">
        <f aca="false">ROUND(M28*100/O28-100,0)</f>
        <v>6</v>
      </c>
    </row>
    <row r="29" s="38" customFormat="true" ht="76.5" hidden="false" customHeight="true" outlineLevel="0" collapsed="false">
      <c r="A29" s="28" t="n">
        <v>19</v>
      </c>
      <c r="B29" s="29" t="s">
        <v>93</v>
      </c>
      <c r="C29" s="30" t="s">
        <v>40</v>
      </c>
      <c r="D29" s="31" t="n">
        <v>10</v>
      </c>
      <c r="E29" s="32" t="n">
        <f aca="false">O29</f>
        <v>371.3</v>
      </c>
      <c r="F29" s="40" t="s">
        <v>94</v>
      </c>
      <c r="G29" s="34" t="n">
        <f aca="false">423/1.2*1.05</f>
        <v>370.13</v>
      </c>
      <c r="H29" s="34" t="n">
        <f aca="false">D29*G29</f>
        <v>3701.3</v>
      </c>
      <c r="I29" s="40" t="s">
        <v>95</v>
      </c>
      <c r="J29" s="34" t="n">
        <f aca="false">427/1.2*1.05</f>
        <v>373.63</v>
      </c>
      <c r="K29" s="34" t="n">
        <f aca="false">D29*J29</f>
        <v>3736.3</v>
      </c>
      <c r="L29" s="40" t="s">
        <v>96</v>
      </c>
      <c r="M29" s="34" t="n">
        <f aca="false">423/1.2*1.05</f>
        <v>370.13</v>
      </c>
      <c r="N29" s="34" t="n">
        <f aca="false">D29*M29</f>
        <v>3701.3</v>
      </c>
      <c r="O29" s="35" t="n">
        <f aca="false">AVERAGE(G29,J29,M29)</f>
        <v>371.3</v>
      </c>
      <c r="P29" s="36" t="n">
        <f aca="false">E29*100/O29-100</f>
        <v>0</v>
      </c>
      <c r="Q29" s="35" t="n">
        <f aca="false">O29*D29</f>
        <v>3713</v>
      </c>
      <c r="R29" s="37"/>
      <c r="T29" s="39" t="n">
        <f aca="false">ROUND(G29*100/O29-100,0)</f>
        <v>-0</v>
      </c>
      <c r="U29" s="39" t="n">
        <f aca="false">ROUND(J29*100/O29-100,0)</f>
        <v>1</v>
      </c>
      <c r="V29" s="39" t="n">
        <f aca="false">ROUND(M29*100/O29-100,0)</f>
        <v>-0</v>
      </c>
    </row>
    <row r="30" s="38" customFormat="true" ht="76.5" hidden="false" customHeight="true" outlineLevel="0" collapsed="false">
      <c r="A30" s="28" t="n">
        <v>20</v>
      </c>
      <c r="B30" s="29" t="s">
        <v>97</v>
      </c>
      <c r="C30" s="30" t="s">
        <v>40</v>
      </c>
      <c r="D30" s="31" t="n">
        <v>5</v>
      </c>
      <c r="E30" s="32" t="n">
        <f aca="false">O30</f>
        <v>664.13</v>
      </c>
      <c r="F30" s="40" t="s">
        <v>98</v>
      </c>
      <c r="G30" s="34" t="n">
        <f aca="false">746/1.2*1.05</f>
        <v>652.75</v>
      </c>
      <c r="H30" s="34" t="n">
        <f aca="false">D30*G30</f>
        <v>3263.75</v>
      </c>
      <c r="I30" s="33" t="s">
        <v>99</v>
      </c>
      <c r="J30" s="34" t="n">
        <f aca="false">785/1.2*1.05</f>
        <v>686.88</v>
      </c>
      <c r="K30" s="34" t="n">
        <f aca="false">D30*J30</f>
        <v>3434.4</v>
      </c>
      <c r="L30" s="40" t="s">
        <v>100</v>
      </c>
      <c r="M30" s="34" t="n">
        <f aca="false">746/1.2*1.05</f>
        <v>652.75</v>
      </c>
      <c r="N30" s="34" t="n">
        <f aca="false">D30*M30</f>
        <v>3263.75</v>
      </c>
      <c r="O30" s="35" t="n">
        <f aca="false">AVERAGE(G30,J30,M30)</f>
        <v>664.13</v>
      </c>
      <c r="P30" s="36" t="n">
        <f aca="false">E30*100/O30-100</f>
        <v>0</v>
      </c>
      <c r="Q30" s="35" t="n">
        <f aca="false">O30*D30</f>
        <v>3320.65</v>
      </c>
      <c r="R30" s="37"/>
      <c r="T30" s="39" t="n">
        <f aca="false">ROUND(G30*100/O30-100,0)</f>
        <v>-2</v>
      </c>
      <c r="U30" s="39" t="n">
        <f aca="false">ROUND(J30*100/O30-100,0)</f>
        <v>3</v>
      </c>
      <c r="V30" s="39" t="n">
        <f aca="false">ROUND(M30*100/O30-100,0)</f>
        <v>-2</v>
      </c>
    </row>
    <row r="31" s="38" customFormat="true" ht="38.25" hidden="false" customHeight="true" outlineLevel="0" collapsed="false">
      <c r="A31" s="28" t="n">
        <v>21</v>
      </c>
      <c r="B31" s="29" t="s">
        <v>101</v>
      </c>
      <c r="C31" s="30" t="s">
        <v>40</v>
      </c>
      <c r="D31" s="31" t="n">
        <v>10</v>
      </c>
      <c r="E31" s="32" t="n">
        <f aca="false">O31</f>
        <v>679</v>
      </c>
      <c r="F31" s="40" t="s">
        <v>102</v>
      </c>
      <c r="G31" s="34" t="n">
        <f aca="false">751/1.2*1.05</f>
        <v>657.13</v>
      </c>
      <c r="H31" s="34" t="n">
        <f aca="false">D31*G31</f>
        <v>6571.3</v>
      </c>
      <c r="I31" s="40" t="s">
        <v>103</v>
      </c>
      <c r="J31" s="34" t="n">
        <f aca="false">793/1.2*1.05</f>
        <v>693.88</v>
      </c>
      <c r="K31" s="34" t="n">
        <f aca="false">D31*J31</f>
        <v>6938.8</v>
      </c>
      <c r="L31" s="40" t="s">
        <v>104</v>
      </c>
      <c r="M31" s="34" t="n">
        <f aca="false">784/1.2*1.05</f>
        <v>686</v>
      </c>
      <c r="N31" s="34" t="n">
        <f aca="false">D31*M31</f>
        <v>6860</v>
      </c>
      <c r="O31" s="35" t="n">
        <f aca="false">AVERAGE(G31,J31,M31)</f>
        <v>679</v>
      </c>
      <c r="P31" s="36" t="n">
        <f aca="false">E31*100/O31-100</f>
        <v>0</v>
      </c>
      <c r="Q31" s="35" t="n">
        <f aca="false">O31*D31</f>
        <v>6790</v>
      </c>
      <c r="R31" s="37"/>
      <c r="T31" s="39" t="n">
        <f aca="false">ROUND(G31*100/O31-100,0)</f>
        <v>-3</v>
      </c>
      <c r="U31" s="39" t="n">
        <f aca="false">ROUND(J31*100/O31-100,0)</f>
        <v>2</v>
      </c>
      <c r="V31" s="39" t="n">
        <f aca="false">ROUND(M31*100/O31-100,0)</f>
        <v>1</v>
      </c>
    </row>
    <row r="32" s="38" customFormat="true" ht="76.5" hidden="false" customHeight="true" outlineLevel="0" collapsed="false">
      <c r="A32" s="28" t="n">
        <v>22</v>
      </c>
      <c r="B32" s="29" t="s">
        <v>105</v>
      </c>
      <c r="C32" s="30" t="s">
        <v>40</v>
      </c>
      <c r="D32" s="31" t="n">
        <v>10</v>
      </c>
      <c r="E32" s="32" t="n">
        <f aca="false">O32</f>
        <v>338.04</v>
      </c>
      <c r="F32" s="42" t="s">
        <v>106</v>
      </c>
      <c r="G32" s="34" t="n">
        <f aca="false">358/1.2*1.05</f>
        <v>313.25</v>
      </c>
      <c r="H32" s="34" t="n">
        <f aca="false">D32*G32</f>
        <v>3132.5</v>
      </c>
      <c r="I32" s="42" t="s">
        <v>107</v>
      </c>
      <c r="J32" s="34" t="n">
        <f aca="false">381/1.2*1.05</f>
        <v>333.38</v>
      </c>
      <c r="K32" s="34" t="n">
        <f aca="false">D32*J32</f>
        <v>3333.8</v>
      </c>
      <c r="L32" s="42" t="s">
        <v>108</v>
      </c>
      <c r="M32" s="34" t="n">
        <f aca="false">420/1.2*1.05</f>
        <v>367.5</v>
      </c>
      <c r="N32" s="34" t="n">
        <f aca="false">D32*M32</f>
        <v>3675</v>
      </c>
      <c r="O32" s="35" t="n">
        <f aca="false">AVERAGE(G32,J32,M32)</f>
        <v>338.04</v>
      </c>
      <c r="P32" s="36" t="n">
        <f aca="false">E32*100/O32-100</f>
        <v>0</v>
      </c>
      <c r="Q32" s="35" t="n">
        <f aca="false">O32*D32</f>
        <v>3380.4</v>
      </c>
      <c r="R32" s="37"/>
      <c r="T32" s="39" t="n">
        <f aca="false">ROUND(G32*100/O32-100,0)</f>
        <v>-7</v>
      </c>
      <c r="U32" s="39" t="n">
        <f aca="false">ROUND(J32*100/O32-100,0)</f>
        <v>-1</v>
      </c>
      <c r="V32" s="39" t="n">
        <f aca="false">ROUND(M32*100/O32-100,0)</f>
        <v>9</v>
      </c>
    </row>
    <row r="33" s="38" customFormat="true" ht="51" hidden="false" customHeight="true" outlineLevel="0" collapsed="false">
      <c r="A33" s="28" t="n">
        <v>23</v>
      </c>
      <c r="B33" s="29" t="s">
        <v>109</v>
      </c>
      <c r="C33" s="30" t="s">
        <v>40</v>
      </c>
      <c r="D33" s="31" t="n">
        <v>5</v>
      </c>
      <c r="E33" s="32" t="n">
        <f aca="false">O33</f>
        <v>180.59</v>
      </c>
      <c r="F33" s="42" t="s">
        <v>110</v>
      </c>
      <c r="G33" s="34" t="n">
        <f aca="false">207.97/1.2*1.05</f>
        <v>181.97</v>
      </c>
      <c r="H33" s="34" t="n">
        <f aca="false">D33*G33</f>
        <v>909.85</v>
      </c>
      <c r="I33" s="42" t="s">
        <v>111</v>
      </c>
      <c r="J33" s="34" t="n">
        <f aca="false">210/1.2*1.05</f>
        <v>183.75</v>
      </c>
      <c r="K33" s="34" t="n">
        <f aca="false">D33*J33</f>
        <v>918.75</v>
      </c>
      <c r="L33" s="42" t="s">
        <v>112</v>
      </c>
      <c r="M33" s="34" t="n">
        <f aca="false">2012/10/1.2*1.05</f>
        <v>176.05</v>
      </c>
      <c r="N33" s="34" t="n">
        <f aca="false">D33*M33</f>
        <v>880.25</v>
      </c>
      <c r="O33" s="35" t="n">
        <f aca="false">AVERAGE(G33,J33,M33)</f>
        <v>180.59</v>
      </c>
      <c r="P33" s="36" t="n">
        <f aca="false">E33*100/O33-100</f>
        <v>0</v>
      </c>
      <c r="Q33" s="35" t="n">
        <f aca="false">O33*D33</f>
        <v>902.95</v>
      </c>
      <c r="R33" s="37"/>
      <c r="T33" s="39" t="n">
        <f aca="false">ROUND(G33*100/O33-100,0)</f>
        <v>1</v>
      </c>
      <c r="U33" s="39" t="n">
        <f aca="false">ROUND(J33*100/O33-100,0)</f>
        <v>2</v>
      </c>
      <c r="V33" s="39" t="n">
        <f aca="false">ROUND(M33*100/O33-100,0)</f>
        <v>-3</v>
      </c>
    </row>
    <row r="34" s="38" customFormat="true" ht="102" hidden="false" customHeight="true" outlineLevel="0" collapsed="false">
      <c r="A34" s="28" t="n">
        <v>24</v>
      </c>
      <c r="B34" s="29" t="s">
        <v>113</v>
      </c>
      <c r="C34" s="30" t="s">
        <v>40</v>
      </c>
      <c r="D34" s="31" t="n">
        <v>10</v>
      </c>
      <c r="E34" s="32" t="n">
        <f aca="false">O34</f>
        <v>355.25</v>
      </c>
      <c r="F34" s="42" t="s">
        <v>114</v>
      </c>
      <c r="G34" s="34" t="n">
        <f aca="false">406/1.2*1.05</f>
        <v>355.25</v>
      </c>
      <c r="H34" s="34" t="n">
        <f aca="false">D34*G34</f>
        <v>3552.5</v>
      </c>
      <c r="I34" s="42" t="s">
        <v>115</v>
      </c>
      <c r="J34" s="34" t="n">
        <f aca="false">406/1.2*1.05</f>
        <v>355.25</v>
      </c>
      <c r="K34" s="34" t="n">
        <f aca="false">D34*J34</f>
        <v>3552.5</v>
      </c>
      <c r="L34" s="42" t="s">
        <v>116</v>
      </c>
      <c r="M34" s="34" t="n">
        <f aca="false">406/1.2*1.05</f>
        <v>355.25</v>
      </c>
      <c r="N34" s="34" t="n">
        <f aca="false">D34*M34</f>
        <v>3552.5</v>
      </c>
      <c r="O34" s="35" t="n">
        <f aca="false">AVERAGE(G34,J34,M34)</f>
        <v>355.25</v>
      </c>
      <c r="P34" s="36" t="n">
        <f aca="false">E34*100/O34-100</f>
        <v>0</v>
      </c>
      <c r="Q34" s="35" t="n">
        <f aca="false">O34*D34</f>
        <v>3552.5</v>
      </c>
      <c r="R34" s="37"/>
      <c r="T34" s="39" t="n">
        <f aca="false">ROUND(G34*100/O34-100,0)</f>
        <v>0</v>
      </c>
      <c r="U34" s="39" t="n">
        <f aca="false">ROUND(J34*100/O34-100,0)</f>
        <v>0</v>
      </c>
      <c r="V34" s="39" t="n">
        <f aca="false">ROUND(M34*100/O34-100,0)</f>
        <v>0</v>
      </c>
    </row>
    <row r="35" s="38" customFormat="true" ht="102" hidden="false" customHeight="true" outlineLevel="0" collapsed="false">
      <c r="A35" s="28" t="n">
        <v>25</v>
      </c>
      <c r="B35" s="29" t="s">
        <v>117</v>
      </c>
      <c r="C35" s="30" t="s">
        <v>40</v>
      </c>
      <c r="D35" s="31" t="n">
        <v>5</v>
      </c>
      <c r="E35" s="32" t="n">
        <f aca="false">O35</f>
        <v>575.67</v>
      </c>
      <c r="F35" s="42" t="s">
        <v>118</v>
      </c>
      <c r="G35" s="34" t="n">
        <f aca="false">657.72/1.2*1.05</f>
        <v>575.51</v>
      </c>
      <c r="H35" s="34" t="n">
        <f aca="false">D35*G35</f>
        <v>2877.55</v>
      </c>
      <c r="I35" s="42" t="s">
        <v>119</v>
      </c>
      <c r="J35" s="34" t="n">
        <f aca="false">658/1.2*1.05</f>
        <v>575.75</v>
      </c>
      <c r="K35" s="34" t="n">
        <f aca="false">D35*J35</f>
        <v>2878.75</v>
      </c>
      <c r="L35" s="42" t="s">
        <v>120</v>
      </c>
      <c r="M35" s="34" t="n">
        <f aca="false">658/1.2*1.05</f>
        <v>575.75</v>
      </c>
      <c r="N35" s="34" t="n">
        <f aca="false">D35*M35</f>
        <v>2878.75</v>
      </c>
      <c r="O35" s="35" t="n">
        <f aca="false">AVERAGE(G35,J35,M35)</f>
        <v>575.67</v>
      </c>
      <c r="P35" s="36" t="n">
        <f aca="false">E35*100/O35-100</f>
        <v>0</v>
      </c>
      <c r="Q35" s="35" t="n">
        <f aca="false">O35*D35</f>
        <v>2878.35</v>
      </c>
      <c r="R35" s="37"/>
      <c r="T35" s="39" t="n">
        <f aca="false">ROUND(G35*100/O35-100,0)</f>
        <v>-0</v>
      </c>
      <c r="U35" s="39" t="n">
        <f aca="false">ROUND(J35*100/O35-100,0)</f>
        <v>0</v>
      </c>
      <c r="V35" s="39" t="n">
        <f aca="false">ROUND(M35*100/O35-100,0)</f>
        <v>0</v>
      </c>
    </row>
    <row r="36" s="38" customFormat="true" ht="76.5" hidden="false" customHeight="true" outlineLevel="0" collapsed="false">
      <c r="A36" s="28" t="n">
        <v>26</v>
      </c>
      <c r="B36" s="29" t="s">
        <v>121</v>
      </c>
      <c r="C36" s="30" t="s">
        <v>40</v>
      </c>
      <c r="D36" s="31" t="n">
        <v>5</v>
      </c>
      <c r="E36" s="32" t="n">
        <f aca="false">O36</f>
        <v>202.03</v>
      </c>
      <c r="F36" s="42" t="s">
        <v>122</v>
      </c>
      <c r="G36" s="34" t="n">
        <f aca="false">225.37/1.2*1.05</f>
        <v>197.2</v>
      </c>
      <c r="H36" s="34" t="n">
        <f aca="false">D36*G36</f>
        <v>986</v>
      </c>
      <c r="I36" s="42" t="s">
        <v>123</v>
      </c>
      <c r="J36" s="34" t="n">
        <f aca="false">2123/10/1.2*1.05</f>
        <v>185.76</v>
      </c>
      <c r="K36" s="34" t="n">
        <f aca="false">D36*J36</f>
        <v>928.8</v>
      </c>
      <c r="L36" s="42" t="s">
        <v>124</v>
      </c>
      <c r="M36" s="34" t="n">
        <f aca="false">255/1.2*1.05</f>
        <v>223.13</v>
      </c>
      <c r="N36" s="34" t="n">
        <f aca="false">D36*M36</f>
        <v>1115.65</v>
      </c>
      <c r="O36" s="35" t="n">
        <f aca="false">AVERAGE(G36,J36,M36)</f>
        <v>202.03</v>
      </c>
      <c r="P36" s="36" t="n">
        <f aca="false">E36*100/O36-100</f>
        <v>0</v>
      </c>
      <c r="Q36" s="35" t="n">
        <f aca="false">O36*D36</f>
        <v>1010.15</v>
      </c>
      <c r="R36" s="37"/>
      <c r="T36" s="39" t="n">
        <f aca="false">ROUND(G36*100/O36-100,0)</f>
        <v>-2</v>
      </c>
      <c r="U36" s="39" t="n">
        <f aca="false">ROUND(J36*100/O36-100,0)</f>
        <v>-8</v>
      </c>
      <c r="V36" s="39" t="n">
        <f aca="false">ROUND(M36*100/O36-100,0)</f>
        <v>10</v>
      </c>
    </row>
    <row r="37" s="38" customFormat="true" ht="76.5" hidden="false" customHeight="true" outlineLevel="0" collapsed="false">
      <c r="A37" s="28" t="n">
        <v>27</v>
      </c>
      <c r="B37" s="29" t="s">
        <v>125</v>
      </c>
      <c r="C37" s="30" t="s">
        <v>40</v>
      </c>
      <c r="D37" s="31" t="n">
        <v>5</v>
      </c>
      <c r="E37" s="32" t="n">
        <f aca="false">O37</f>
        <v>180.13</v>
      </c>
      <c r="F37" s="42" t="s">
        <v>126</v>
      </c>
      <c r="G37" s="34" t="n">
        <f aca="false">173.18/1.2*1.05</f>
        <v>151.53</v>
      </c>
      <c r="H37" s="34" t="n">
        <f aca="false">D37*G37</f>
        <v>757.65</v>
      </c>
      <c r="I37" s="42" t="s">
        <v>127</v>
      </c>
      <c r="J37" s="34" t="n">
        <f aca="false">225.4/1.2*1.05</f>
        <v>197.23</v>
      </c>
      <c r="K37" s="34" t="n">
        <f aca="false">D37*J37</f>
        <v>986.15</v>
      </c>
      <c r="L37" s="42" t="s">
        <v>128</v>
      </c>
      <c r="M37" s="34" t="n">
        <f aca="false">219/1.2*1.05</f>
        <v>191.63</v>
      </c>
      <c r="N37" s="34" t="n">
        <f aca="false">D37*M37</f>
        <v>958.15</v>
      </c>
      <c r="O37" s="35" t="n">
        <f aca="false">AVERAGE(G37,J37,M37)</f>
        <v>180.13</v>
      </c>
      <c r="P37" s="36" t="n">
        <f aca="false">E37*100/O37-100</f>
        <v>0</v>
      </c>
      <c r="Q37" s="35" t="n">
        <f aca="false">O37*D37</f>
        <v>900.65</v>
      </c>
      <c r="R37" s="37"/>
      <c r="T37" s="39" t="n">
        <f aca="false">ROUND(G37*100/O37-100,0)</f>
        <v>-16</v>
      </c>
      <c r="U37" s="39" t="n">
        <f aca="false">ROUND(J37*100/O37-100,0)</f>
        <v>9</v>
      </c>
      <c r="V37" s="39" t="n">
        <f aca="false">ROUND(M37*100/O37-100,0)</f>
        <v>6</v>
      </c>
    </row>
    <row r="38" s="38" customFormat="true" ht="150" hidden="false" customHeight="true" outlineLevel="0" collapsed="false">
      <c r="A38" s="28" t="n">
        <v>28</v>
      </c>
      <c r="B38" s="29" t="s">
        <v>129</v>
      </c>
      <c r="C38" s="30" t="s">
        <v>40</v>
      </c>
      <c r="D38" s="31" t="n">
        <v>20</v>
      </c>
      <c r="E38" s="32" t="n">
        <f aca="false">O38</f>
        <v>1632.46</v>
      </c>
      <c r="F38" s="33" t="s">
        <v>130</v>
      </c>
      <c r="G38" s="34" t="n">
        <f aca="false">1802/1.2*1.05</f>
        <v>1576.75</v>
      </c>
      <c r="H38" s="34" t="n">
        <f aca="false">D38*G38</f>
        <v>31535</v>
      </c>
      <c r="I38" s="33" t="s">
        <v>131</v>
      </c>
      <c r="J38" s="34" t="n">
        <f aca="false">1950/1.2*1.05</f>
        <v>1706.25</v>
      </c>
      <c r="K38" s="34" t="n">
        <f aca="false">D38*J38</f>
        <v>34125</v>
      </c>
      <c r="L38" s="33" t="s">
        <v>132</v>
      </c>
      <c r="M38" s="34" t="n">
        <f aca="false">1845/1.2*1.05</f>
        <v>1614.38</v>
      </c>
      <c r="N38" s="34" t="n">
        <f aca="false">D38*M38</f>
        <v>32287.6</v>
      </c>
      <c r="O38" s="35" t="n">
        <f aca="false">AVERAGE(G38,J38,M38)</f>
        <v>1632.46</v>
      </c>
      <c r="P38" s="36" t="n">
        <f aca="false">E38*100/O38-100</f>
        <v>0</v>
      </c>
      <c r="Q38" s="35" t="n">
        <f aca="false">O38*D38</f>
        <v>32649.2</v>
      </c>
      <c r="R38" s="37"/>
      <c r="T38" s="39" t="n">
        <f aca="false">ROUND(G38*100/O38-100,0)</f>
        <v>-3</v>
      </c>
      <c r="U38" s="39" t="n">
        <f aca="false">ROUND(J38*100/O38-100,0)</f>
        <v>5</v>
      </c>
      <c r="V38" s="39" t="n">
        <f aca="false">ROUND(M38*100/O38-100,0)</f>
        <v>-1</v>
      </c>
    </row>
    <row r="39" s="38" customFormat="true" ht="89.25" hidden="false" customHeight="true" outlineLevel="0" collapsed="false">
      <c r="A39" s="28" t="n">
        <v>29</v>
      </c>
      <c r="B39" s="29" t="s">
        <v>133</v>
      </c>
      <c r="C39" s="30" t="s">
        <v>40</v>
      </c>
      <c r="D39" s="31" t="n">
        <v>20</v>
      </c>
      <c r="E39" s="32" t="n">
        <f aca="false">O39</f>
        <v>697.96</v>
      </c>
      <c r="F39" s="42" t="s">
        <v>134</v>
      </c>
      <c r="G39" s="34" t="n">
        <f aca="false">900/1.2*1.05</f>
        <v>787.5</v>
      </c>
      <c r="H39" s="34" t="n">
        <f aca="false">D39*G39</f>
        <v>15750</v>
      </c>
      <c r="I39" s="42" t="s">
        <v>135</v>
      </c>
      <c r="J39" s="34" t="n">
        <f aca="false">701/1.2*1.05</f>
        <v>613.38</v>
      </c>
      <c r="K39" s="34" t="n">
        <f aca="false">D39*J39</f>
        <v>12267.6</v>
      </c>
      <c r="L39" s="42" t="s">
        <v>136</v>
      </c>
      <c r="M39" s="34" t="n">
        <f aca="false">792/1.2*1.05</f>
        <v>693</v>
      </c>
      <c r="N39" s="34" t="n">
        <f aca="false">D39*M39</f>
        <v>13860</v>
      </c>
      <c r="O39" s="35" t="n">
        <f aca="false">AVERAGE(G39,J39,M39)</f>
        <v>697.96</v>
      </c>
      <c r="P39" s="36" t="n">
        <f aca="false">E39*100/O39-100</f>
        <v>0</v>
      </c>
      <c r="Q39" s="35" t="n">
        <f aca="false">O39*D39</f>
        <v>13959.2</v>
      </c>
      <c r="R39" s="37"/>
      <c r="T39" s="39" t="n">
        <f aca="false">ROUND(G39*100/O39-100,0)</f>
        <v>13</v>
      </c>
      <c r="U39" s="39" t="n">
        <f aca="false">ROUND(J39*100/O39-100,0)</f>
        <v>-12</v>
      </c>
      <c r="V39" s="39" t="n">
        <f aca="false">ROUND(M39*100/O39-100,0)</f>
        <v>-1</v>
      </c>
    </row>
    <row r="40" s="38" customFormat="true" ht="75" hidden="false" customHeight="true" outlineLevel="0" collapsed="false">
      <c r="A40" s="28" t="n">
        <v>30</v>
      </c>
      <c r="B40" s="29" t="s">
        <v>137</v>
      </c>
      <c r="C40" s="30" t="s">
        <v>27</v>
      </c>
      <c r="D40" s="31" t="n">
        <v>25.5</v>
      </c>
      <c r="E40" s="32" t="n">
        <f aca="false">O40</f>
        <v>393.75</v>
      </c>
      <c r="F40" s="33" t="s">
        <v>138</v>
      </c>
      <c r="G40" s="34" t="n">
        <f aca="false">450/1.2*1.05</f>
        <v>393.75</v>
      </c>
      <c r="H40" s="34" t="n">
        <f aca="false">D40*G40</f>
        <v>10040.63</v>
      </c>
      <c r="I40" s="33" t="s">
        <v>139</v>
      </c>
      <c r="J40" s="34" t="n">
        <f aca="false">450/1.2*1.05</f>
        <v>393.75</v>
      </c>
      <c r="K40" s="34" t="n">
        <f aca="false">D40*J40</f>
        <v>10040.63</v>
      </c>
      <c r="L40" s="33" t="s">
        <v>140</v>
      </c>
      <c r="M40" s="34" t="n">
        <f aca="false">450/1.2*1.05</f>
        <v>393.75</v>
      </c>
      <c r="N40" s="34" t="n">
        <f aca="false">D40*M40</f>
        <v>10040.63</v>
      </c>
      <c r="O40" s="35" t="n">
        <f aca="false">AVERAGE(G40,J40,M40)</f>
        <v>393.75</v>
      </c>
      <c r="P40" s="36" t="n">
        <f aca="false">E40*100/O40-100</f>
        <v>0</v>
      </c>
      <c r="Q40" s="35" t="n">
        <f aca="false">O40*D40</f>
        <v>10040.63</v>
      </c>
      <c r="R40" s="37"/>
      <c r="T40" s="39" t="n">
        <f aca="false">ROUND(G40*100/O40-100,0)</f>
        <v>0</v>
      </c>
      <c r="U40" s="39" t="n">
        <f aca="false">ROUND(J40*100/O40-100,0)</f>
        <v>0</v>
      </c>
      <c r="V40" s="39" t="n">
        <f aca="false">ROUND(M40*100/O40-100,0)</f>
        <v>0</v>
      </c>
    </row>
    <row r="41" s="38" customFormat="true" ht="75" hidden="false" customHeight="true" outlineLevel="0" collapsed="false">
      <c r="A41" s="28" t="n">
        <v>31</v>
      </c>
      <c r="B41" s="29" t="s">
        <v>141</v>
      </c>
      <c r="C41" s="30" t="s">
        <v>27</v>
      </c>
      <c r="D41" s="31" t="n">
        <v>3774.5</v>
      </c>
      <c r="E41" s="32" t="n">
        <f aca="false">O41</f>
        <v>393.75</v>
      </c>
      <c r="F41" s="33" t="s">
        <v>138</v>
      </c>
      <c r="G41" s="34" t="n">
        <f aca="false">450/1.2*1.05</f>
        <v>393.75</v>
      </c>
      <c r="H41" s="34" t="n">
        <f aca="false">D41*G41</f>
        <v>1486209.38</v>
      </c>
      <c r="I41" s="33" t="s">
        <v>139</v>
      </c>
      <c r="J41" s="34" t="n">
        <f aca="false">450/1.2*1.05</f>
        <v>393.75</v>
      </c>
      <c r="K41" s="34" t="n">
        <f aca="false">D41*J41</f>
        <v>1486209.38</v>
      </c>
      <c r="L41" s="33" t="s">
        <v>140</v>
      </c>
      <c r="M41" s="34" t="n">
        <f aca="false">450/1.2*1.05</f>
        <v>393.75</v>
      </c>
      <c r="N41" s="34" t="n">
        <f aca="false">D41*M41</f>
        <v>1486209.38</v>
      </c>
      <c r="O41" s="35" t="n">
        <f aca="false">AVERAGE(G41,J41,M41)</f>
        <v>393.75</v>
      </c>
      <c r="P41" s="36" t="n">
        <f aca="false">E41*100/O41-100</f>
        <v>0</v>
      </c>
      <c r="Q41" s="35" t="n">
        <f aca="false">O41*D41</f>
        <v>1486209.38</v>
      </c>
      <c r="R41" s="37"/>
      <c r="T41" s="39" t="n">
        <f aca="false">ROUND(G41*100/O41-100,0)</f>
        <v>0</v>
      </c>
      <c r="U41" s="39" t="n">
        <f aca="false">ROUND(J41*100/O41-100,0)</f>
        <v>0</v>
      </c>
      <c r="V41" s="39" t="n">
        <f aca="false">ROUND(M41*100/O41-100,0)</f>
        <v>0</v>
      </c>
    </row>
    <row r="42" s="38" customFormat="true" ht="38.25" hidden="false" customHeight="true" outlineLevel="0" collapsed="false">
      <c r="A42" s="28" t="n">
        <v>32</v>
      </c>
      <c r="B42" s="43" t="s">
        <v>142</v>
      </c>
      <c r="C42" s="44" t="s">
        <v>143</v>
      </c>
      <c r="D42" s="45" t="n">
        <v>5</v>
      </c>
      <c r="E42" s="32" t="n">
        <f aca="false">O42</f>
        <v>1596.88</v>
      </c>
      <c r="F42" s="40" t="s">
        <v>144</v>
      </c>
      <c r="G42" s="34" t="n">
        <f aca="false">1917/1.2*1.05</f>
        <v>1677.38</v>
      </c>
      <c r="H42" s="34" t="n">
        <f aca="false">D42*G42</f>
        <v>8386.9</v>
      </c>
      <c r="I42" s="40" t="s">
        <v>145</v>
      </c>
      <c r="J42" s="34" t="n">
        <f aca="false">1780/1.2*1.05</f>
        <v>1557.5</v>
      </c>
      <c r="K42" s="34" t="n">
        <f aca="false">D42*J42</f>
        <v>7787.5</v>
      </c>
      <c r="L42" s="40" t="s">
        <v>146</v>
      </c>
      <c r="M42" s="34" t="n">
        <f aca="false">1778/1.2*1.05</f>
        <v>1555.75</v>
      </c>
      <c r="N42" s="34" t="n">
        <f aca="false">D42*M42</f>
        <v>7778.75</v>
      </c>
      <c r="O42" s="35" t="n">
        <f aca="false">AVERAGE(G42,J42,M42)</f>
        <v>1596.88</v>
      </c>
      <c r="P42" s="36" t="n">
        <f aca="false">E42*100/O42-100</f>
        <v>0</v>
      </c>
      <c r="Q42" s="35" t="n">
        <f aca="false">O42*D42</f>
        <v>7984.4</v>
      </c>
      <c r="R42" s="37"/>
      <c r="T42" s="39" t="n">
        <f aca="false">ROUND(G42*100/O42-100,0)</f>
        <v>5</v>
      </c>
      <c r="U42" s="39" t="n">
        <f aca="false">ROUND(J42*100/O42-100,0)</f>
        <v>-2</v>
      </c>
      <c r="V42" s="39" t="n">
        <f aca="false">ROUND(M42*100/O42-100,0)</f>
        <v>-3</v>
      </c>
    </row>
    <row r="43" s="38" customFormat="true" ht="38.25" hidden="false" customHeight="true" outlineLevel="0" collapsed="false">
      <c r="A43" s="28" t="n">
        <v>33</v>
      </c>
      <c r="B43" s="43" t="s">
        <v>147</v>
      </c>
      <c r="C43" s="44" t="s">
        <v>143</v>
      </c>
      <c r="D43" s="45" t="n">
        <v>4</v>
      </c>
      <c r="E43" s="32" t="n">
        <f aca="false">O43</f>
        <v>568.17</v>
      </c>
      <c r="F43" s="40" t="s">
        <v>148</v>
      </c>
      <c r="G43" s="34" t="n">
        <f aca="false">641/1.2*1.05</f>
        <v>560.88</v>
      </c>
      <c r="H43" s="34" t="n">
        <f aca="false">D43*G43</f>
        <v>2243.52</v>
      </c>
      <c r="I43" s="40" t="s">
        <v>149</v>
      </c>
      <c r="J43" s="34" t="n">
        <f aca="false">679/1.2*1.05</f>
        <v>594.13</v>
      </c>
      <c r="K43" s="34" t="n">
        <f aca="false">D43*J43</f>
        <v>2376.52</v>
      </c>
      <c r="L43" s="40" t="s">
        <v>150</v>
      </c>
      <c r="M43" s="34" t="n">
        <f aca="false">628/1.2*1.05</f>
        <v>549.5</v>
      </c>
      <c r="N43" s="34" t="n">
        <f aca="false">D43*M43</f>
        <v>2198</v>
      </c>
      <c r="O43" s="35" t="n">
        <f aca="false">AVERAGE(G43,J43,M43)</f>
        <v>568.17</v>
      </c>
      <c r="P43" s="36" t="n">
        <f aca="false">E43*100/O43-100</f>
        <v>0</v>
      </c>
      <c r="Q43" s="35" t="n">
        <f aca="false">O43*D43</f>
        <v>2272.68</v>
      </c>
      <c r="R43" s="37"/>
      <c r="T43" s="39" t="n">
        <f aca="false">ROUND(G43*100/O43-100,0)</f>
        <v>-1</v>
      </c>
      <c r="U43" s="39" t="n">
        <f aca="false">ROUND(J43*100/O43-100,0)</f>
        <v>5</v>
      </c>
      <c r="V43" s="39" t="n">
        <f aca="false">ROUND(M43*100/O43-100,0)</f>
        <v>-3</v>
      </c>
    </row>
    <row r="44" s="38" customFormat="true" ht="63.75" hidden="false" customHeight="true" outlineLevel="0" collapsed="false">
      <c r="A44" s="28" t="n">
        <v>34</v>
      </c>
      <c r="B44" s="43" t="s">
        <v>151</v>
      </c>
      <c r="C44" s="44" t="s">
        <v>143</v>
      </c>
      <c r="D44" s="45" t="n">
        <v>1</v>
      </c>
      <c r="E44" s="32" t="n">
        <f aca="false">O44</f>
        <v>685.42</v>
      </c>
      <c r="F44" s="40" t="s">
        <v>152</v>
      </c>
      <c r="G44" s="34" t="n">
        <f aca="false">740/1.2*1.05</f>
        <v>647.5</v>
      </c>
      <c r="H44" s="34" t="n">
        <f aca="false">D44*G44</f>
        <v>647.5</v>
      </c>
      <c r="I44" s="40" t="s">
        <v>153</v>
      </c>
      <c r="J44" s="34" t="n">
        <f aca="false">740/1.2*1.05</f>
        <v>647.5</v>
      </c>
      <c r="K44" s="34" t="n">
        <f aca="false">D44*J44</f>
        <v>647.5</v>
      </c>
      <c r="L44" s="40" t="s">
        <v>154</v>
      </c>
      <c r="M44" s="34" t="n">
        <f aca="false">870/1.2*1.05</f>
        <v>761.25</v>
      </c>
      <c r="N44" s="34" t="n">
        <f aca="false">D44*M44</f>
        <v>761.25</v>
      </c>
      <c r="O44" s="35" t="n">
        <f aca="false">AVERAGE(G44,J44,M44)</f>
        <v>685.42</v>
      </c>
      <c r="P44" s="36" t="n">
        <f aca="false">E44*100/O44-100</f>
        <v>0</v>
      </c>
      <c r="Q44" s="35" t="n">
        <f aca="false">O44*D44</f>
        <v>685.42</v>
      </c>
      <c r="R44" s="37"/>
      <c r="T44" s="39" t="n">
        <f aca="false">ROUND(G44*100/O44-100,0)</f>
        <v>-6</v>
      </c>
      <c r="U44" s="39" t="n">
        <f aca="false">ROUND(J44*100/O44-100,0)</f>
        <v>-6</v>
      </c>
      <c r="V44" s="39" t="n">
        <f aca="false">ROUND(M44*100/O44-100,0)</f>
        <v>11</v>
      </c>
    </row>
    <row r="45" s="38" customFormat="true" ht="76.5" hidden="false" customHeight="true" outlineLevel="0" collapsed="false">
      <c r="A45" s="28" t="n">
        <v>35</v>
      </c>
      <c r="B45" s="43" t="s">
        <v>155</v>
      </c>
      <c r="C45" s="44" t="s">
        <v>143</v>
      </c>
      <c r="D45" s="45" t="n">
        <v>3</v>
      </c>
      <c r="E45" s="32" t="n">
        <f aca="false">O45</f>
        <v>39957.17</v>
      </c>
      <c r="F45" s="42" t="s">
        <v>156</v>
      </c>
      <c r="G45" s="34" t="n">
        <f aca="false">45663/1.2*1.05</f>
        <v>39955.13</v>
      </c>
      <c r="H45" s="34" t="n">
        <f aca="false">D45*G45</f>
        <v>119865.39</v>
      </c>
      <c r="I45" s="42" t="s">
        <v>157</v>
      </c>
      <c r="J45" s="34" t="n">
        <f aca="false">45670/1.2*1.05</f>
        <v>39961.25</v>
      </c>
      <c r="K45" s="34" t="n">
        <f aca="false">D45*J45</f>
        <v>119883.75</v>
      </c>
      <c r="L45" s="42" t="s">
        <v>158</v>
      </c>
      <c r="M45" s="34" t="n">
        <f aca="false">45663/1.2*1.05</f>
        <v>39955.13</v>
      </c>
      <c r="N45" s="34" t="n">
        <f aca="false">D45*M45</f>
        <v>119865.39</v>
      </c>
      <c r="O45" s="35" t="n">
        <f aca="false">AVERAGE(G45,J45,M45)</f>
        <v>39957.17</v>
      </c>
      <c r="P45" s="36" t="n">
        <f aca="false">E45*100/O45-100</f>
        <v>0</v>
      </c>
      <c r="Q45" s="35" t="n">
        <f aca="false">O45*D45</f>
        <v>119871.51</v>
      </c>
      <c r="R45" s="37"/>
      <c r="T45" s="39" t="n">
        <f aca="false">ROUND(G45*100/O45-100,0)</f>
        <v>-0</v>
      </c>
      <c r="U45" s="39" t="n">
        <f aca="false">ROUND(J45*100/O45-100,0)</f>
        <v>0</v>
      </c>
      <c r="V45" s="39" t="n">
        <f aca="false">ROUND(M45*100/O45-100,0)</f>
        <v>-0</v>
      </c>
    </row>
    <row r="46" s="38" customFormat="true" ht="76.5" hidden="false" customHeight="true" outlineLevel="0" collapsed="false">
      <c r="A46" s="28" t="n">
        <v>36</v>
      </c>
      <c r="B46" s="43" t="s">
        <v>159</v>
      </c>
      <c r="C46" s="44" t="s">
        <v>64</v>
      </c>
      <c r="D46" s="45" t="n">
        <v>131.5</v>
      </c>
      <c r="E46" s="32" t="n">
        <f aca="false">O46</f>
        <v>203.84</v>
      </c>
      <c r="F46" s="46" t="s">
        <v>160</v>
      </c>
      <c r="G46" s="34" t="n">
        <f aca="false">1005/4.5/1.2*1.05</f>
        <v>195.42</v>
      </c>
      <c r="H46" s="34" t="n">
        <f aca="false">D46*G46</f>
        <v>25697.73</v>
      </c>
      <c r="I46" s="42" t="s">
        <v>161</v>
      </c>
      <c r="J46" s="34" t="n">
        <f aca="false">995/4.5/1.2*1.05</f>
        <v>193.47</v>
      </c>
      <c r="K46" s="34" t="n">
        <f aca="false">D46*J46</f>
        <v>25441.31</v>
      </c>
      <c r="L46" s="42" t="s">
        <v>162</v>
      </c>
      <c r="M46" s="34" t="n">
        <f aca="false">229/0.9/1.2*1.05</f>
        <v>222.64</v>
      </c>
      <c r="N46" s="34" t="n">
        <f aca="false">D46*M46</f>
        <v>29277.16</v>
      </c>
      <c r="O46" s="35" t="n">
        <f aca="false">AVERAGE(G46,J46,M46)</f>
        <v>203.84</v>
      </c>
      <c r="P46" s="36" t="n">
        <f aca="false">E46*100/O46-100</f>
        <v>0</v>
      </c>
      <c r="Q46" s="35" t="n">
        <f aca="false">O46*D46</f>
        <v>26804.96</v>
      </c>
      <c r="R46" s="37"/>
      <c r="T46" s="39" t="n">
        <f aca="false">ROUND(G46*100/O46-100,0)</f>
        <v>-4</v>
      </c>
      <c r="U46" s="39" t="n">
        <f aca="false">ROUND(J46*100/O46-100,0)</f>
        <v>-5</v>
      </c>
      <c r="V46" s="39" t="n">
        <f aca="false">ROUND(M46*100/O46-100,0)</f>
        <v>9</v>
      </c>
    </row>
    <row r="47" s="38" customFormat="true" ht="105" hidden="false" customHeight="true" outlineLevel="0" collapsed="false">
      <c r="A47" s="28" t="n">
        <v>37</v>
      </c>
      <c r="B47" s="43" t="s">
        <v>163</v>
      </c>
      <c r="C47" s="44" t="s">
        <v>143</v>
      </c>
      <c r="D47" s="45" t="n">
        <v>0.5</v>
      </c>
      <c r="E47" s="32" t="n">
        <f aca="false">O47</f>
        <v>380.63</v>
      </c>
      <c r="F47" s="33" t="s">
        <v>23</v>
      </c>
      <c r="G47" s="34" t="n">
        <f aca="false">470/1.2*1.05</f>
        <v>411.25</v>
      </c>
      <c r="H47" s="34" t="n">
        <f aca="false">D47*G47</f>
        <v>205.63</v>
      </c>
      <c r="I47" s="33" t="s">
        <v>24</v>
      </c>
      <c r="J47" s="34" t="n">
        <f aca="false">415/1.2*1.05</f>
        <v>363.13</v>
      </c>
      <c r="K47" s="34" t="n">
        <f aca="false">D47*J47</f>
        <v>181.57</v>
      </c>
      <c r="L47" s="33" t="s">
        <v>25</v>
      </c>
      <c r="M47" s="34" t="n">
        <f aca="false">420/1.2*1.05</f>
        <v>367.5</v>
      </c>
      <c r="N47" s="34" t="n">
        <f aca="false">D47*M47</f>
        <v>183.75</v>
      </c>
      <c r="O47" s="35" t="n">
        <f aca="false">AVERAGE(G47,J47,M47)</f>
        <v>380.63</v>
      </c>
      <c r="P47" s="36" t="n">
        <f aca="false">E47*100/O47-100</f>
        <v>0</v>
      </c>
      <c r="Q47" s="35" t="n">
        <f aca="false">O47*D47</f>
        <v>190.32</v>
      </c>
      <c r="R47" s="37"/>
      <c r="T47" s="39" t="n">
        <f aca="false">ROUND(G47*100/O47-100,0)</f>
        <v>8</v>
      </c>
      <c r="U47" s="39" t="n">
        <f aca="false">ROUND(J47*100/O47-100,0)</f>
        <v>-5</v>
      </c>
      <c r="V47" s="39" t="n">
        <f aca="false">ROUND(M47*100/O47-100,0)</f>
        <v>-3</v>
      </c>
    </row>
    <row r="48" s="38" customFormat="true" ht="63.75" hidden="false" customHeight="true" outlineLevel="0" collapsed="false">
      <c r="A48" s="28" t="n">
        <v>38</v>
      </c>
      <c r="B48" s="43" t="s">
        <v>164</v>
      </c>
      <c r="C48" s="44" t="s">
        <v>143</v>
      </c>
      <c r="D48" s="45" t="n">
        <v>1</v>
      </c>
      <c r="E48" s="32" t="n">
        <f aca="false">O48</f>
        <v>965.42</v>
      </c>
      <c r="F48" s="42" t="s">
        <v>165</v>
      </c>
      <c r="G48" s="34" t="n">
        <f aca="false">1155/1.2*1.05</f>
        <v>1010.63</v>
      </c>
      <c r="H48" s="34" t="n">
        <f aca="false">D48*G48</f>
        <v>1010.63</v>
      </c>
      <c r="I48" s="42" t="s">
        <v>166</v>
      </c>
      <c r="J48" s="34" t="n">
        <f aca="false">1116/1.2*1.05</f>
        <v>976.5</v>
      </c>
      <c r="K48" s="34" t="n">
        <f aca="false">D48*J48</f>
        <v>976.5</v>
      </c>
      <c r="L48" s="42" t="s">
        <v>167</v>
      </c>
      <c r="M48" s="34" t="n">
        <f aca="false">1039/1.2*1.05</f>
        <v>909.13</v>
      </c>
      <c r="N48" s="34" t="n">
        <f aca="false">D48*M48</f>
        <v>909.13</v>
      </c>
      <c r="O48" s="35" t="n">
        <f aca="false">AVERAGE(G48,J48,M48)</f>
        <v>965.42</v>
      </c>
      <c r="P48" s="36" t="n">
        <f aca="false">E48*100/O48-100</f>
        <v>0</v>
      </c>
      <c r="Q48" s="35" t="n">
        <f aca="false">O48*D48</f>
        <v>965.42</v>
      </c>
      <c r="R48" s="37"/>
      <c r="T48" s="39" t="n">
        <f aca="false">ROUND(G48*100/O48-100,0)</f>
        <v>5</v>
      </c>
      <c r="U48" s="39" t="n">
        <f aca="false">ROUND(J48*100/O48-100,0)</f>
        <v>1</v>
      </c>
      <c r="V48" s="39" t="n">
        <f aca="false">ROUND(M48*100/O48-100,0)</f>
        <v>-6</v>
      </c>
    </row>
    <row r="49" s="38" customFormat="true" ht="76.5" hidden="false" customHeight="true" outlineLevel="0" collapsed="false">
      <c r="A49" s="28" t="n">
        <v>39</v>
      </c>
      <c r="B49" s="43" t="s">
        <v>168</v>
      </c>
      <c r="C49" s="44" t="s">
        <v>143</v>
      </c>
      <c r="D49" s="45" t="n">
        <v>1</v>
      </c>
      <c r="E49" s="32" t="n">
        <f aca="false">O49</f>
        <v>1133.13</v>
      </c>
      <c r="F49" s="42" t="s">
        <v>169</v>
      </c>
      <c r="G49" s="34" t="n">
        <f aca="false">1500/1.2*1.05</f>
        <v>1312.5</v>
      </c>
      <c r="H49" s="34" t="n">
        <f aca="false">D49*G49</f>
        <v>1312.5</v>
      </c>
      <c r="I49" s="42" t="s">
        <v>170</v>
      </c>
      <c r="J49" s="34" t="n">
        <f aca="false">1320/1.2*1.05</f>
        <v>1155</v>
      </c>
      <c r="K49" s="34" t="n">
        <f aca="false">D49*J49</f>
        <v>1155</v>
      </c>
      <c r="L49" s="42" t="s">
        <v>171</v>
      </c>
      <c r="M49" s="34" t="n">
        <f aca="false">1065/1.2*1.05</f>
        <v>931.88</v>
      </c>
      <c r="N49" s="34" t="n">
        <f aca="false">D49*M49</f>
        <v>931.88</v>
      </c>
      <c r="O49" s="35" t="n">
        <f aca="false">AVERAGE(G49,J49,M49)</f>
        <v>1133.13</v>
      </c>
      <c r="P49" s="36" t="n">
        <f aca="false">E49*100/O49-100</f>
        <v>0</v>
      </c>
      <c r="Q49" s="35" t="n">
        <f aca="false">O49*D49</f>
        <v>1133.13</v>
      </c>
      <c r="R49" s="37"/>
      <c r="T49" s="39" t="n">
        <f aca="false">ROUND(G49*100/O49-100,0)</f>
        <v>16</v>
      </c>
      <c r="U49" s="39" t="n">
        <f aca="false">ROUND(J49*100/O49-100,0)</f>
        <v>2</v>
      </c>
      <c r="V49" s="39" t="n">
        <f aca="false">ROUND(M49*100/O49-100,0)</f>
        <v>-18</v>
      </c>
    </row>
    <row r="50" s="38" customFormat="true" ht="76.5" hidden="false" customHeight="true" outlineLevel="0" collapsed="false">
      <c r="A50" s="28" t="n">
        <v>40</v>
      </c>
      <c r="B50" s="43" t="s">
        <v>172</v>
      </c>
      <c r="C50" s="44" t="s">
        <v>143</v>
      </c>
      <c r="D50" s="45" t="n">
        <v>1</v>
      </c>
      <c r="E50" s="32" t="n">
        <f aca="false">O50</f>
        <v>1133.13</v>
      </c>
      <c r="F50" s="42" t="s">
        <v>169</v>
      </c>
      <c r="G50" s="34" t="n">
        <f aca="false">1500/1.2*1.05</f>
        <v>1312.5</v>
      </c>
      <c r="H50" s="34" t="n">
        <f aca="false">D50*G50</f>
        <v>1312.5</v>
      </c>
      <c r="I50" s="42" t="s">
        <v>170</v>
      </c>
      <c r="J50" s="34" t="n">
        <f aca="false">1320/1.2*1.05</f>
        <v>1155</v>
      </c>
      <c r="K50" s="34" t="n">
        <f aca="false">D50*J50</f>
        <v>1155</v>
      </c>
      <c r="L50" s="42" t="s">
        <v>171</v>
      </c>
      <c r="M50" s="34" t="n">
        <f aca="false">1065/1.2*1.05</f>
        <v>931.88</v>
      </c>
      <c r="N50" s="34" t="n">
        <f aca="false">D50*M50</f>
        <v>931.88</v>
      </c>
      <c r="O50" s="35" t="n">
        <f aca="false">AVERAGE(G50,J50,M50)</f>
        <v>1133.13</v>
      </c>
      <c r="P50" s="36" t="n">
        <f aca="false">E50*100/O50-100</f>
        <v>0</v>
      </c>
      <c r="Q50" s="35" t="n">
        <f aca="false">O50*D50</f>
        <v>1133.13</v>
      </c>
      <c r="R50" s="37"/>
      <c r="T50" s="39" t="n">
        <f aca="false">ROUND(G50*100/O50-100,0)</f>
        <v>16</v>
      </c>
      <c r="U50" s="39" t="n">
        <f aca="false">ROUND(J50*100/O50-100,0)</f>
        <v>2</v>
      </c>
      <c r="V50" s="39" t="n">
        <f aca="false">ROUND(M50*100/O50-100,0)</f>
        <v>-18</v>
      </c>
    </row>
    <row r="51" s="38" customFormat="true" ht="51" hidden="false" customHeight="true" outlineLevel="0" collapsed="false">
      <c r="A51" s="28" t="n">
        <v>41</v>
      </c>
      <c r="B51" s="43" t="s">
        <v>173</v>
      </c>
      <c r="C51" s="44" t="s">
        <v>143</v>
      </c>
      <c r="D51" s="45" t="n">
        <v>1</v>
      </c>
      <c r="E51" s="32" t="n">
        <f aca="false">O51</f>
        <v>512.17</v>
      </c>
      <c r="F51" s="42" t="s">
        <v>174</v>
      </c>
      <c r="G51" s="34" t="n">
        <f aca="false">540/1.2*1.05</f>
        <v>472.5</v>
      </c>
      <c r="H51" s="34" t="n">
        <f aca="false">D51*G51</f>
        <v>472.5</v>
      </c>
      <c r="I51" s="42" t="s">
        <v>175</v>
      </c>
      <c r="J51" s="34" t="n">
        <f aca="false">596/1.2*1.05</f>
        <v>521.5</v>
      </c>
      <c r="K51" s="34" t="n">
        <f aca="false">D51*J51</f>
        <v>521.5</v>
      </c>
      <c r="L51" s="42" t="s">
        <v>176</v>
      </c>
      <c r="M51" s="34" t="n">
        <f aca="false">620/1.2*1.05</f>
        <v>542.5</v>
      </c>
      <c r="N51" s="34" t="n">
        <f aca="false">D51*M51</f>
        <v>542.5</v>
      </c>
      <c r="O51" s="35" t="n">
        <f aca="false">AVERAGE(G51,J51,M51)</f>
        <v>512.17</v>
      </c>
      <c r="P51" s="36" t="n">
        <f aca="false">E51*100/O51-100</f>
        <v>0</v>
      </c>
      <c r="Q51" s="35" t="n">
        <f aca="false">O51*D51</f>
        <v>512.17</v>
      </c>
      <c r="R51" s="37"/>
      <c r="T51" s="39" t="n">
        <f aca="false">ROUND(G51*100/O51-100,0)</f>
        <v>-8</v>
      </c>
      <c r="U51" s="39" t="n">
        <f aca="false">ROUND(J51*100/O51-100,0)</f>
        <v>2</v>
      </c>
      <c r="V51" s="39" t="n">
        <f aca="false">ROUND(M51*100/O51-100,0)</f>
        <v>6</v>
      </c>
    </row>
    <row r="52" s="38" customFormat="true" ht="102" hidden="false" customHeight="true" outlineLevel="0" collapsed="false">
      <c r="A52" s="28" t="n">
        <v>42</v>
      </c>
      <c r="B52" s="43" t="s">
        <v>177</v>
      </c>
      <c r="C52" s="44" t="s">
        <v>143</v>
      </c>
      <c r="D52" s="45" t="n">
        <v>1</v>
      </c>
      <c r="E52" s="32" t="n">
        <f aca="false">O52</f>
        <v>497.23</v>
      </c>
      <c r="F52" s="42" t="s">
        <v>178</v>
      </c>
      <c r="G52" s="34" t="n">
        <f aca="false">568.8/1.2*1.05</f>
        <v>497.7</v>
      </c>
      <c r="H52" s="34" t="n">
        <f aca="false">D52*G52</f>
        <v>497.7</v>
      </c>
      <c r="I52" s="42" t="s">
        <v>174</v>
      </c>
      <c r="J52" s="34" t="n">
        <f aca="false">540/1.2*1.05</f>
        <v>472.5</v>
      </c>
      <c r="K52" s="34" t="n">
        <f aca="false">D52*J52</f>
        <v>472.5</v>
      </c>
      <c r="L52" s="42" t="s">
        <v>179</v>
      </c>
      <c r="M52" s="34" t="n">
        <f aca="false">596/1.2*1.05</f>
        <v>521.5</v>
      </c>
      <c r="N52" s="34" t="n">
        <f aca="false">D52*M52</f>
        <v>521.5</v>
      </c>
      <c r="O52" s="35" t="n">
        <f aca="false">AVERAGE(G52,J52,M52)</f>
        <v>497.23</v>
      </c>
      <c r="P52" s="36" t="n">
        <f aca="false">E52*100/O52-100</f>
        <v>0</v>
      </c>
      <c r="Q52" s="35" t="n">
        <f aca="false">O52*D52</f>
        <v>497.23</v>
      </c>
      <c r="R52" s="37"/>
      <c r="T52" s="39" t="n">
        <f aca="false">ROUND(G52*100/O52-100,0)</f>
        <v>0</v>
      </c>
      <c r="U52" s="39" t="n">
        <f aca="false">ROUND(J52*100/O52-100,0)</f>
        <v>-5</v>
      </c>
      <c r="V52" s="39" t="n">
        <f aca="false">ROUND(M52*100/O52-100,0)</f>
        <v>5</v>
      </c>
    </row>
    <row r="53" s="38" customFormat="true" ht="51" hidden="false" customHeight="true" outlineLevel="0" collapsed="false">
      <c r="A53" s="28" t="n">
        <v>43</v>
      </c>
      <c r="B53" s="43" t="s">
        <v>180</v>
      </c>
      <c r="C53" s="44" t="s">
        <v>143</v>
      </c>
      <c r="D53" s="45" t="n">
        <v>5</v>
      </c>
      <c r="E53" s="32" t="n">
        <f aca="false">O53</f>
        <v>512.17</v>
      </c>
      <c r="F53" s="42" t="s">
        <v>181</v>
      </c>
      <c r="G53" s="34" t="n">
        <f aca="false">620/1.2*1.05</f>
        <v>542.5</v>
      </c>
      <c r="H53" s="34" t="n">
        <f aca="false">D53*G53</f>
        <v>2712.5</v>
      </c>
      <c r="I53" s="42" t="s">
        <v>182</v>
      </c>
      <c r="J53" s="34" t="n">
        <f aca="false">596/1.2*1.05</f>
        <v>521.5</v>
      </c>
      <c r="K53" s="34" t="n">
        <f aca="false">D53*J53</f>
        <v>2607.5</v>
      </c>
      <c r="L53" s="42" t="s">
        <v>174</v>
      </c>
      <c r="M53" s="34" t="n">
        <f aca="false">540/1.2*1.05</f>
        <v>472.5</v>
      </c>
      <c r="N53" s="34" t="n">
        <f aca="false">D53*M53</f>
        <v>2362.5</v>
      </c>
      <c r="O53" s="35" t="n">
        <f aca="false">AVERAGE(G53,J53,M53)</f>
        <v>512.17</v>
      </c>
      <c r="P53" s="36" t="n">
        <f aca="false">E53*100/O53-100</f>
        <v>0</v>
      </c>
      <c r="Q53" s="35" t="n">
        <f aca="false">O53*D53</f>
        <v>2560.85</v>
      </c>
      <c r="R53" s="37"/>
      <c r="T53" s="39" t="n">
        <f aca="false">ROUND(G53*100/O53-100,0)</f>
        <v>6</v>
      </c>
      <c r="U53" s="39" t="n">
        <f aca="false">ROUND(J53*100/O53-100,0)</f>
        <v>2</v>
      </c>
      <c r="V53" s="39" t="n">
        <f aca="false">ROUND(M53*100/O53-100,0)</f>
        <v>-8</v>
      </c>
    </row>
    <row r="54" s="38" customFormat="true" ht="63.75" hidden="false" customHeight="true" outlineLevel="0" collapsed="false">
      <c r="A54" s="28" t="n">
        <v>44</v>
      </c>
      <c r="B54" s="43" t="s">
        <v>183</v>
      </c>
      <c r="C54" s="44" t="s">
        <v>143</v>
      </c>
      <c r="D54" s="45" t="n">
        <v>4</v>
      </c>
      <c r="E54" s="32" t="n">
        <f aca="false">O54</f>
        <v>980.31</v>
      </c>
      <c r="F54" s="42" t="s">
        <v>184</v>
      </c>
      <c r="G54" s="34" t="n">
        <f aca="false">1176/1.2*1.05</f>
        <v>1029</v>
      </c>
      <c r="H54" s="34" t="n">
        <f aca="false">D54*G54</f>
        <v>4116</v>
      </c>
      <c r="I54" s="42" t="s">
        <v>185</v>
      </c>
      <c r="J54" s="34" t="n">
        <f aca="false">1176/1.2*1.05</f>
        <v>1029</v>
      </c>
      <c r="K54" s="34" t="n">
        <f aca="false">D54*J54</f>
        <v>4116</v>
      </c>
      <c r="L54" s="42" t="s">
        <v>186</v>
      </c>
      <c r="M54" s="34" t="n">
        <f aca="false">1009.05/1.2*1.05</f>
        <v>882.92</v>
      </c>
      <c r="N54" s="34" t="n">
        <f aca="false">D54*M54</f>
        <v>3531.68</v>
      </c>
      <c r="O54" s="35" t="n">
        <f aca="false">AVERAGE(G54,J54,M54)</f>
        <v>980.31</v>
      </c>
      <c r="P54" s="36" t="n">
        <f aca="false">E54*100/O54-100</f>
        <v>0</v>
      </c>
      <c r="Q54" s="35" t="n">
        <f aca="false">O54*D54</f>
        <v>3921.24</v>
      </c>
      <c r="R54" s="37"/>
      <c r="T54" s="39" t="n">
        <f aca="false">ROUND(G54*100/O54-100,0)</f>
        <v>5</v>
      </c>
      <c r="U54" s="39" t="n">
        <f aca="false">ROUND(J54*100/O54-100,0)</f>
        <v>5</v>
      </c>
      <c r="V54" s="39" t="n">
        <f aca="false">ROUND(M54*100/O54-100,0)</f>
        <v>-10</v>
      </c>
    </row>
    <row r="55" s="38" customFormat="true" ht="51" hidden="false" customHeight="true" outlineLevel="0" collapsed="false">
      <c r="A55" s="28" t="n">
        <v>45</v>
      </c>
      <c r="B55" s="43" t="s">
        <v>187</v>
      </c>
      <c r="C55" s="44" t="s">
        <v>143</v>
      </c>
      <c r="D55" s="45" t="n">
        <v>2</v>
      </c>
      <c r="E55" s="32" t="n">
        <f aca="false">O55</f>
        <v>2398.75</v>
      </c>
      <c r="F55" s="42" t="s">
        <v>188</v>
      </c>
      <c r="G55" s="34" t="n">
        <f aca="false">2613.6/1.2*1.05</f>
        <v>2286.9</v>
      </c>
      <c r="H55" s="34" t="n">
        <f aca="false">D55*G55</f>
        <v>4573.8</v>
      </c>
      <c r="I55" s="42" t="s">
        <v>189</v>
      </c>
      <c r="J55" s="34" t="n">
        <f aca="false">2925.67/1.2*1.05</f>
        <v>2559.96</v>
      </c>
      <c r="K55" s="34" t="n">
        <f aca="false">D55*J55</f>
        <v>5119.92</v>
      </c>
      <c r="L55" s="42" t="s">
        <v>190</v>
      </c>
      <c r="M55" s="34" t="n">
        <f aca="false">2685/1.2*1.05</f>
        <v>2349.38</v>
      </c>
      <c r="N55" s="34" t="n">
        <f aca="false">D55*M55</f>
        <v>4698.76</v>
      </c>
      <c r="O55" s="35" t="n">
        <f aca="false">AVERAGE(G55,J55,M55)</f>
        <v>2398.75</v>
      </c>
      <c r="P55" s="36" t="n">
        <f aca="false">E55*100/O55-100</f>
        <v>0</v>
      </c>
      <c r="Q55" s="35" t="n">
        <f aca="false">O55*D55</f>
        <v>4797.5</v>
      </c>
      <c r="R55" s="37"/>
      <c r="T55" s="39" t="n">
        <f aca="false">ROUND(G55*100/O55-100,0)</f>
        <v>-5</v>
      </c>
      <c r="U55" s="39" t="n">
        <f aca="false">ROUND(J55*100/O55-100,0)</f>
        <v>7</v>
      </c>
      <c r="V55" s="39" t="n">
        <f aca="false">ROUND(M55*100/O55-100,0)</f>
        <v>-2</v>
      </c>
    </row>
    <row r="56" s="38" customFormat="true" ht="89.25" hidden="false" customHeight="true" outlineLevel="0" collapsed="false">
      <c r="A56" s="28" t="n">
        <v>46</v>
      </c>
      <c r="B56" s="43" t="s">
        <v>191</v>
      </c>
      <c r="C56" s="44" t="s">
        <v>143</v>
      </c>
      <c r="D56" s="45" t="n">
        <v>1</v>
      </c>
      <c r="E56" s="32" t="n">
        <f aca="false">O56</f>
        <v>2785.61</v>
      </c>
      <c r="F56" s="42" t="s">
        <v>192</v>
      </c>
      <c r="G56" s="34" t="n">
        <f aca="false">3600/1.2*1.05</f>
        <v>3150</v>
      </c>
      <c r="H56" s="34" t="n">
        <f aca="false">D56*G56</f>
        <v>3150</v>
      </c>
      <c r="I56" s="42" t="s">
        <v>189</v>
      </c>
      <c r="J56" s="34" t="n">
        <f aca="false">2925.67/1.2*1.05</f>
        <v>2559.96</v>
      </c>
      <c r="K56" s="34" t="n">
        <f aca="false">D56*J56</f>
        <v>2559.96</v>
      </c>
      <c r="L56" s="42" t="s">
        <v>193</v>
      </c>
      <c r="M56" s="34" t="n">
        <f aca="false">3025/1.2*1.05</f>
        <v>2646.88</v>
      </c>
      <c r="N56" s="34" t="n">
        <f aca="false">D56*M56</f>
        <v>2646.88</v>
      </c>
      <c r="O56" s="35" t="n">
        <f aca="false">AVERAGE(G56,J56,M56)</f>
        <v>2785.61</v>
      </c>
      <c r="P56" s="36" t="n">
        <f aca="false">E56*100/O56-100</f>
        <v>0</v>
      </c>
      <c r="Q56" s="35" t="n">
        <f aca="false">O56*D56</f>
        <v>2785.61</v>
      </c>
      <c r="R56" s="37"/>
      <c r="T56" s="39" t="n">
        <f aca="false">ROUND(G56*100/O56-100,0)</f>
        <v>13</v>
      </c>
      <c r="U56" s="39" t="n">
        <f aca="false">ROUND(J56*100/O56-100,0)</f>
        <v>-8</v>
      </c>
      <c r="V56" s="39" t="n">
        <f aca="false">ROUND(M56*100/O56-100,0)</f>
        <v>-5</v>
      </c>
    </row>
    <row r="57" s="38" customFormat="true" ht="102" hidden="false" customHeight="true" outlineLevel="0" collapsed="false">
      <c r="A57" s="28" t="n">
        <v>47</v>
      </c>
      <c r="B57" s="43" t="s">
        <v>194</v>
      </c>
      <c r="C57" s="44" t="s">
        <v>143</v>
      </c>
      <c r="D57" s="45" t="n">
        <v>1</v>
      </c>
      <c r="E57" s="32" t="n">
        <f aca="false">O57</f>
        <v>2870.58</v>
      </c>
      <c r="F57" s="42" t="s">
        <v>195</v>
      </c>
      <c r="G57" s="34" t="n">
        <f aca="false">3600/1.2*1.05</f>
        <v>3150</v>
      </c>
      <c r="H57" s="34" t="n">
        <f aca="false">D57*G57</f>
        <v>3150</v>
      </c>
      <c r="I57" s="42" t="s">
        <v>196</v>
      </c>
      <c r="J57" s="34" t="n">
        <f aca="false">3218/1.2*1.05</f>
        <v>2815.75</v>
      </c>
      <c r="K57" s="34" t="n">
        <f aca="false">D57*J57</f>
        <v>2815.75</v>
      </c>
      <c r="L57" s="42" t="s">
        <v>197</v>
      </c>
      <c r="M57" s="34" t="n">
        <f aca="false">3024/1.2*1.05</f>
        <v>2646</v>
      </c>
      <c r="N57" s="34" t="n">
        <f aca="false">D57*M57</f>
        <v>2646</v>
      </c>
      <c r="O57" s="35" t="n">
        <f aca="false">AVERAGE(G57,J57,M57)</f>
        <v>2870.58</v>
      </c>
      <c r="P57" s="36" t="n">
        <f aca="false">E57*100/O57-100</f>
        <v>0</v>
      </c>
      <c r="Q57" s="35" t="n">
        <f aca="false">O57*D57</f>
        <v>2870.58</v>
      </c>
      <c r="R57" s="37"/>
      <c r="T57" s="39" t="n">
        <f aca="false">ROUND(G57*100/O57-100,0)</f>
        <v>10</v>
      </c>
      <c r="U57" s="39" t="n">
        <f aca="false">ROUND(J57*100/O57-100,0)</f>
        <v>-2</v>
      </c>
      <c r="V57" s="39" t="n">
        <f aca="false">ROUND(M57*100/O57-100,0)</f>
        <v>-8</v>
      </c>
    </row>
    <row r="58" s="38" customFormat="true" ht="89.25" hidden="false" customHeight="true" outlineLevel="0" collapsed="false">
      <c r="A58" s="28" t="n">
        <v>48</v>
      </c>
      <c r="B58" s="43" t="s">
        <v>198</v>
      </c>
      <c r="C58" s="44" t="s">
        <v>143</v>
      </c>
      <c r="D58" s="45" t="n">
        <v>1</v>
      </c>
      <c r="E58" s="32" t="n">
        <f aca="false">O58</f>
        <v>2842.38</v>
      </c>
      <c r="F58" s="42" t="s">
        <v>195</v>
      </c>
      <c r="G58" s="34" t="n">
        <f aca="false">3600/1.2*1.05</f>
        <v>3150</v>
      </c>
      <c r="H58" s="34" t="n">
        <f aca="false">D58*G58</f>
        <v>3150</v>
      </c>
      <c r="I58" s="42" t="s">
        <v>199</v>
      </c>
      <c r="J58" s="34" t="n">
        <f aca="false">2814/1.2*1.05</f>
        <v>2462.25</v>
      </c>
      <c r="K58" s="34" t="n">
        <f aca="false">D58*J58</f>
        <v>2462.25</v>
      </c>
      <c r="L58" s="40" t="s">
        <v>200</v>
      </c>
      <c r="M58" s="34" t="n">
        <f aca="false">3331.3/1.2*1.05</f>
        <v>2914.89</v>
      </c>
      <c r="N58" s="34" t="n">
        <f aca="false">D58*M58</f>
        <v>2914.89</v>
      </c>
      <c r="O58" s="35" t="n">
        <f aca="false">AVERAGE(G58,J58,M58)</f>
        <v>2842.38</v>
      </c>
      <c r="P58" s="36" t="n">
        <f aca="false">E58*100/O58-100</f>
        <v>0</v>
      </c>
      <c r="Q58" s="35" t="n">
        <f aca="false">O58*D58</f>
        <v>2842.38</v>
      </c>
      <c r="R58" s="37"/>
      <c r="T58" s="39" t="n">
        <f aca="false">ROUND(G58*100/O58-100,0)</f>
        <v>11</v>
      </c>
      <c r="U58" s="39" t="n">
        <f aca="false">ROUND(J58*100/O58-100,0)</f>
        <v>-13</v>
      </c>
      <c r="V58" s="39" t="n">
        <f aca="false">ROUND(M58*100/O58-100,0)</f>
        <v>3</v>
      </c>
    </row>
    <row r="59" s="38" customFormat="true" ht="76.5" hidden="false" customHeight="true" outlineLevel="0" collapsed="false">
      <c r="A59" s="28" t="n">
        <v>49</v>
      </c>
      <c r="B59" s="43" t="s">
        <v>201</v>
      </c>
      <c r="C59" s="44" t="s">
        <v>143</v>
      </c>
      <c r="D59" s="45" t="n">
        <v>2</v>
      </c>
      <c r="E59" s="32" t="n">
        <f aca="false">O59</f>
        <v>2982</v>
      </c>
      <c r="F59" s="42" t="s">
        <v>197</v>
      </c>
      <c r="G59" s="34" t="n">
        <f aca="false">3024/1.2*1.05</f>
        <v>2646</v>
      </c>
      <c r="H59" s="34" t="n">
        <f aca="false">D59*G59</f>
        <v>5292</v>
      </c>
      <c r="I59" s="42" t="s">
        <v>202</v>
      </c>
      <c r="J59" s="34" t="n">
        <f aca="false">3600/1.2*1.05</f>
        <v>3150</v>
      </c>
      <c r="K59" s="34" t="n">
        <f aca="false">D59*J59</f>
        <v>6300</v>
      </c>
      <c r="L59" s="42" t="s">
        <v>203</v>
      </c>
      <c r="M59" s="34" t="n">
        <f aca="false">3600/1.2*1.05</f>
        <v>3150</v>
      </c>
      <c r="N59" s="34" t="n">
        <f aca="false">D59*M59</f>
        <v>6300</v>
      </c>
      <c r="O59" s="35" t="n">
        <f aca="false">AVERAGE(G59,J59,M59)</f>
        <v>2982</v>
      </c>
      <c r="P59" s="36" t="n">
        <f aca="false">E59*100/O59-100</f>
        <v>0</v>
      </c>
      <c r="Q59" s="35" t="n">
        <f aca="false">O59*D59</f>
        <v>5964</v>
      </c>
      <c r="R59" s="37"/>
      <c r="T59" s="39" t="n">
        <f aca="false">ROUND(G59*100/O59-100,0)</f>
        <v>-11</v>
      </c>
      <c r="U59" s="39" t="n">
        <f aca="false">ROUND(J59*100/O59-100,0)</f>
        <v>6</v>
      </c>
      <c r="V59" s="39" t="n">
        <f aca="false">ROUND(M59*100/O59-100,0)</f>
        <v>6</v>
      </c>
    </row>
    <row r="60" s="38" customFormat="true" ht="76.5" hidden="false" customHeight="true" outlineLevel="0" collapsed="false">
      <c r="A60" s="28" t="n">
        <v>50</v>
      </c>
      <c r="B60" s="43" t="s">
        <v>204</v>
      </c>
      <c r="C60" s="44" t="s">
        <v>143</v>
      </c>
      <c r="D60" s="45" t="n">
        <v>2</v>
      </c>
      <c r="E60" s="32" t="n">
        <f aca="false">O60</f>
        <v>3023.86</v>
      </c>
      <c r="F60" s="42" t="s">
        <v>197</v>
      </c>
      <c r="G60" s="34" t="n">
        <f aca="false">3024/1.2*1.05</f>
        <v>2646</v>
      </c>
      <c r="H60" s="34" t="n">
        <f aca="false">D60*G60</f>
        <v>5292</v>
      </c>
      <c r="I60" s="42" t="s">
        <v>205</v>
      </c>
      <c r="J60" s="34" t="n">
        <f aca="false">3370.5/1.2*1.05</f>
        <v>2949.19</v>
      </c>
      <c r="K60" s="34" t="n">
        <f aca="false">D60*J60</f>
        <v>5898.38</v>
      </c>
      <c r="L60" s="42" t="s">
        <v>206</v>
      </c>
      <c r="M60" s="34" t="n">
        <f aca="false">3973/1.2*1.05</f>
        <v>3476.38</v>
      </c>
      <c r="N60" s="34" t="n">
        <f aca="false">D60*M60</f>
        <v>6952.76</v>
      </c>
      <c r="O60" s="35" t="n">
        <f aca="false">AVERAGE(G60,J60,M60)</f>
        <v>3023.86</v>
      </c>
      <c r="P60" s="36" t="n">
        <f aca="false">E60*100/O60-100</f>
        <v>0</v>
      </c>
      <c r="Q60" s="35" t="n">
        <f aca="false">O60*D60</f>
        <v>6047.72</v>
      </c>
      <c r="R60" s="37"/>
      <c r="T60" s="39" t="n">
        <f aca="false">ROUND(G60*100/O60-100,0)</f>
        <v>-12</v>
      </c>
      <c r="U60" s="39" t="n">
        <f aca="false">ROUND(J60*100/O60-100,0)</f>
        <v>-2</v>
      </c>
      <c r="V60" s="39" t="n">
        <f aca="false">ROUND(M60*100/O60-100,0)</f>
        <v>15</v>
      </c>
    </row>
    <row r="61" s="38" customFormat="true" ht="89.25" hidden="false" customHeight="true" outlineLevel="0" collapsed="false">
      <c r="A61" s="28" t="n">
        <v>51</v>
      </c>
      <c r="B61" s="43" t="s">
        <v>207</v>
      </c>
      <c r="C61" s="44" t="s">
        <v>143</v>
      </c>
      <c r="D61" s="45" t="n">
        <v>1</v>
      </c>
      <c r="E61" s="32" t="n">
        <f aca="false">O61</f>
        <v>2814.29</v>
      </c>
      <c r="F61" s="42" t="s">
        <v>208</v>
      </c>
      <c r="G61" s="34" t="n">
        <f aca="false">3600/1.2*1.05</f>
        <v>3150</v>
      </c>
      <c r="H61" s="34" t="n">
        <f aca="false">D61*G61</f>
        <v>3150</v>
      </c>
      <c r="I61" s="42" t="s">
        <v>209</v>
      </c>
      <c r="J61" s="34" t="n">
        <f aca="false">3025/1.2*1.05</f>
        <v>2646.88</v>
      </c>
      <c r="K61" s="34" t="n">
        <f aca="false">D61*J61</f>
        <v>2646.88</v>
      </c>
      <c r="L61" s="42" t="s">
        <v>197</v>
      </c>
      <c r="M61" s="34" t="n">
        <f aca="false">3024/1.2*1.05</f>
        <v>2646</v>
      </c>
      <c r="N61" s="34" t="n">
        <f aca="false">D61*M61</f>
        <v>2646</v>
      </c>
      <c r="O61" s="35" t="n">
        <f aca="false">AVERAGE(G61,J61,M61)</f>
        <v>2814.29</v>
      </c>
      <c r="P61" s="36" t="n">
        <f aca="false">E61*100/O61-100</f>
        <v>0</v>
      </c>
      <c r="Q61" s="35" t="n">
        <f aca="false">O61*D61</f>
        <v>2814.29</v>
      </c>
      <c r="R61" s="37"/>
      <c r="T61" s="39" t="n">
        <f aca="false">ROUND(G61*100/O61-100,0)</f>
        <v>12</v>
      </c>
      <c r="U61" s="39" t="n">
        <f aca="false">ROUND(J61*100/O61-100,0)</f>
        <v>-6</v>
      </c>
      <c r="V61" s="39" t="n">
        <f aca="false">ROUND(M61*100/O61-100,0)</f>
        <v>-6</v>
      </c>
    </row>
    <row r="62" s="38" customFormat="true" ht="51" hidden="false" customHeight="true" outlineLevel="0" collapsed="false">
      <c r="A62" s="28" t="n">
        <v>52</v>
      </c>
      <c r="B62" s="43" t="s">
        <v>210</v>
      </c>
      <c r="C62" s="44" t="s">
        <v>143</v>
      </c>
      <c r="D62" s="45" t="n">
        <v>4</v>
      </c>
      <c r="E62" s="32" t="n">
        <f aca="false">O62</f>
        <v>2456.59</v>
      </c>
      <c r="F62" s="42" t="s">
        <v>211</v>
      </c>
      <c r="G62" s="34" t="n">
        <f aca="false">2784/1.2*1.05</f>
        <v>2436</v>
      </c>
      <c r="H62" s="34" t="n">
        <f aca="false">D62*G62</f>
        <v>9744</v>
      </c>
      <c r="I62" s="42" t="s">
        <v>188</v>
      </c>
      <c r="J62" s="34" t="n">
        <f aca="false">2613.6/1.2*1.05</f>
        <v>2286.9</v>
      </c>
      <c r="K62" s="34" t="n">
        <f aca="false">D62*J62</f>
        <v>9147.6</v>
      </c>
      <c r="L62" s="42" t="s">
        <v>209</v>
      </c>
      <c r="M62" s="34" t="n">
        <f aca="false">3025/1.2*1.05</f>
        <v>2646.88</v>
      </c>
      <c r="N62" s="34" t="n">
        <f aca="false">D62*M62</f>
        <v>10587.52</v>
      </c>
      <c r="O62" s="35" t="n">
        <f aca="false">AVERAGE(G62,J62,M62)</f>
        <v>2456.59</v>
      </c>
      <c r="P62" s="36" t="n">
        <f aca="false">E62*100/O62-100</f>
        <v>0</v>
      </c>
      <c r="Q62" s="35" t="n">
        <f aca="false">O62*D62</f>
        <v>9826.36</v>
      </c>
      <c r="R62" s="37"/>
      <c r="T62" s="39" t="n">
        <f aca="false">ROUND(G62*100/O62-100,0)</f>
        <v>-1</v>
      </c>
      <c r="U62" s="39" t="n">
        <f aca="false">ROUND(J62*100/O62-100,0)</f>
        <v>-7</v>
      </c>
      <c r="V62" s="39" t="n">
        <f aca="false">ROUND(M62*100/O62-100,0)</f>
        <v>8</v>
      </c>
    </row>
    <row r="63" s="38" customFormat="true" ht="382.5" hidden="false" customHeight="true" outlineLevel="0" collapsed="false">
      <c r="A63" s="28" t="n">
        <v>53</v>
      </c>
      <c r="B63" s="43" t="s">
        <v>212</v>
      </c>
      <c r="C63" s="44" t="s">
        <v>143</v>
      </c>
      <c r="D63" s="45" t="n">
        <v>4</v>
      </c>
      <c r="E63" s="32" t="n">
        <f aca="false">O63</f>
        <v>177.63</v>
      </c>
      <c r="F63" s="33" t="s">
        <v>213</v>
      </c>
      <c r="G63" s="34" t="n">
        <f aca="false">206/1.2*1.05</f>
        <v>180.25</v>
      </c>
      <c r="H63" s="34" t="n">
        <f aca="false">D63*G63</f>
        <v>721</v>
      </c>
      <c r="I63" s="33" t="s">
        <v>214</v>
      </c>
      <c r="J63" s="34" t="n">
        <f aca="false">198/1.2*1.05</f>
        <v>173.25</v>
      </c>
      <c r="K63" s="34" t="n">
        <f aca="false">D63*J63</f>
        <v>693</v>
      </c>
      <c r="L63" s="40" t="s">
        <v>215</v>
      </c>
      <c r="M63" s="34" t="n">
        <f aca="false">205/1.2*1.05</f>
        <v>179.38</v>
      </c>
      <c r="N63" s="34" t="n">
        <f aca="false">D63*M63</f>
        <v>717.52</v>
      </c>
      <c r="O63" s="35" t="n">
        <f aca="false">AVERAGE(G63,J63,M63)</f>
        <v>177.63</v>
      </c>
      <c r="P63" s="36" t="n">
        <f aca="false">E63*100/O63-100</f>
        <v>0</v>
      </c>
      <c r="Q63" s="35" t="n">
        <f aca="false">O63*D63</f>
        <v>710.52</v>
      </c>
      <c r="R63" s="37"/>
      <c r="T63" s="39" t="n">
        <f aca="false">ROUND(G63*100/O63-100,0)</f>
        <v>1</v>
      </c>
      <c r="U63" s="39" t="n">
        <f aca="false">ROUND(J63*100/O63-100,0)</f>
        <v>-2</v>
      </c>
      <c r="V63" s="39" t="n">
        <f aca="false">ROUND(M63*100/O63-100,0)</f>
        <v>1</v>
      </c>
    </row>
    <row r="64" s="38" customFormat="true" ht="76.5" hidden="false" customHeight="true" outlineLevel="0" collapsed="false">
      <c r="A64" s="28" t="n">
        <v>54</v>
      </c>
      <c r="B64" s="43" t="s">
        <v>216</v>
      </c>
      <c r="C64" s="44" t="s">
        <v>64</v>
      </c>
      <c r="D64" s="45" t="n">
        <v>21.58</v>
      </c>
      <c r="E64" s="32" t="n">
        <f aca="false">O64</f>
        <v>454.27</v>
      </c>
      <c r="F64" s="42" t="s">
        <v>217</v>
      </c>
      <c r="G64" s="34" t="n">
        <f aca="false">525/1.2*1.05</f>
        <v>459.38</v>
      </c>
      <c r="H64" s="34" t="n">
        <f aca="false">D64*G64</f>
        <v>9913.42</v>
      </c>
      <c r="I64" s="42" t="s">
        <v>218</v>
      </c>
      <c r="J64" s="34" t="n">
        <f aca="false">529/1.2*1.05</f>
        <v>462.88</v>
      </c>
      <c r="K64" s="34" t="n">
        <f aca="false">D64*J64</f>
        <v>9988.95</v>
      </c>
      <c r="L64" s="42" t="s">
        <v>219</v>
      </c>
      <c r="M64" s="34" t="n">
        <f aca="false">503.5/1.2*1.05</f>
        <v>440.56</v>
      </c>
      <c r="N64" s="34" t="n">
        <f aca="false">D64*M64</f>
        <v>9507.28</v>
      </c>
      <c r="O64" s="35" t="n">
        <f aca="false">AVERAGE(G64,J64,M64)</f>
        <v>454.27</v>
      </c>
      <c r="P64" s="36" t="n">
        <f aca="false">E64*100/O64-100</f>
        <v>0</v>
      </c>
      <c r="Q64" s="35" t="n">
        <f aca="false">O64*D64</f>
        <v>9803.15</v>
      </c>
      <c r="R64" s="37"/>
      <c r="T64" s="39" t="n">
        <f aca="false">ROUND(G64*100/O64-100,0)</f>
        <v>1</v>
      </c>
      <c r="U64" s="39" t="n">
        <f aca="false">ROUND(J64*100/O64-100,0)</f>
        <v>2</v>
      </c>
      <c r="V64" s="39" t="n">
        <f aca="false">ROUND(M64*100/O64-100,0)</f>
        <v>-3</v>
      </c>
    </row>
    <row r="65" s="38" customFormat="true" ht="76.5" hidden="false" customHeight="true" outlineLevel="0" collapsed="false">
      <c r="A65" s="28" t="n">
        <v>55</v>
      </c>
      <c r="B65" s="43" t="s">
        <v>220</v>
      </c>
      <c r="C65" s="44" t="s">
        <v>27</v>
      </c>
      <c r="D65" s="45" t="n">
        <v>392.2</v>
      </c>
      <c r="E65" s="32" t="n">
        <f aca="false">O65</f>
        <v>427</v>
      </c>
      <c r="F65" s="42" t="s">
        <v>221</v>
      </c>
      <c r="G65" s="34" t="n">
        <f aca="false">81400/180/1.2*1.05</f>
        <v>395.69</v>
      </c>
      <c r="H65" s="34" t="n">
        <f aca="false">D65*G65</f>
        <v>155189.62</v>
      </c>
      <c r="I65" s="46" t="s">
        <v>222</v>
      </c>
      <c r="J65" s="34" t="n">
        <f aca="false">85509/180/1.2*1.05</f>
        <v>415.67</v>
      </c>
      <c r="K65" s="34" t="n">
        <f aca="false">D65*J65</f>
        <v>163025.77</v>
      </c>
      <c r="L65" s="42" t="s">
        <v>223</v>
      </c>
      <c r="M65" s="34" t="n">
        <f aca="false">98760/184/1.2*1.05</f>
        <v>469.65</v>
      </c>
      <c r="N65" s="34" t="n">
        <f aca="false">D65*M65</f>
        <v>184196.73</v>
      </c>
      <c r="O65" s="35" t="n">
        <f aca="false">AVERAGE(G65,J65,M65)</f>
        <v>427</v>
      </c>
      <c r="P65" s="36" t="n">
        <f aca="false">E65*100/O65-100</f>
        <v>0</v>
      </c>
      <c r="Q65" s="35" t="n">
        <f aca="false">O65*D65</f>
        <v>167469.4</v>
      </c>
      <c r="R65" s="37"/>
      <c r="T65" s="39" t="n">
        <f aca="false">ROUND(G65*100/O65-100,0)</f>
        <v>-7</v>
      </c>
      <c r="U65" s="39" t="n">
        <f aca="false">ROUND(J65*100/O65-100,0)</f>
        <v>-3</v>
      </c>
      <c r="V65" s="39" t="n">
        <f aca="false">ROUND(M65*100/O65-100,0)</f>
        <v>10</v>
      </c>
    </row>
    <row r="66" s="38" customFormat="true" ht="89.25" hidden="false" customHeight="true" outlineLevel="0" collapsed="false">
      <c r="A66" s="28" t="n">
        <v>56</v>
      </c>
      <c r="B66" s="43" t="s">
        <v>224</v>
      </c>
      <c r="C66" s="44" t="s">
        <v>64</v>
      </c>
      <c r="D66" s="45" t="n">
        <v>60</v>
      </c>
      <c r="E66" s="32" t="n">
        <f aca="false">O66</f>
        <v>306.95</v>
      </c>
      <c r="F66" s="42" t="s">
        <v>225</v>
      </c>
      <c r="G66" s="34" t="n">
        <f aca="false">1760/5/1.2*1.05</f>
        <v>308</v>
      </c>
      <c r="H66" s="34" t="n">
        <f aca="false">D66*G66</f>
        <v>18480</v>
      </c>
      <c r="I66" s="42" t="s">
        <v>226</v>
      </c>
      <c r="J66" s="34" t="n">
        <f aca="false">1727/5/1.2*1.05</f>
        <v>302.23</v>
      </c>
      <c r="K66" s="34" t="n">
        <f aca="false">D66*J66</f>
        <v>18133.8</v>
      </c>
      <c r="L66" s="42" t="s">
        <v>227</v>
      </c>
      <c r="M66" s="34" t="n">
        <f aca="false">355/1.2*1.05</f>
        <v>310.63</v>
      </c>
      <c r="N66" s="34" t="n">
        <f aca="false">D66*M66</f>
        <v>18637.8</v>
      </c>
      <c r="O66" s="35" t="n">
        <f aca="false">AVERAGE(G66,J66,M66)</f>
        <v>306.95</v>
      </c>
      <c r="P66" s="36" t="n">
        <f aca="false">E66*100/O66-100</f>
        <v>0</v>
      </c>
      <c r="Q66" s="35" t="n">
        <f aca="false">O66*D66</f>
        <v>18417</v>
      </c>
      <c r="R66" s="37"/>
      <c r="T66" s="39" t="n">
        <f aca="false">ROUND(G66*100/O66-100,0)</f>
        <v>0</v>
      </c>
      <c r="U66" s="39" t="n">
        <f aca="false">ROUND(J66*100/O66-100,0)</f>
        <v>-2</v>
      </c>
      <c r="V66" s="39" t="n">
        <f aca="false">ROUND(M66*100/O66-100,0)</f>
        <v>1</v>
      </c>
    </row>
    <row r="67" s="38" customFormat="true" ht="89.25" hidden="false" customHeight="true" outlineLevel="0" collapsed="false">
      <c r="A67" s="28" t="n">
        <v>57</v>
      </c>
      <c r="B67" s="43" t="s">
        <v>228</v>
      </c>
      <c r="C67" s="44" t="s">
        <v>64</v>
      </c>
      <c r="D67" s="45" t="n">
        <v>42.5</v>
      </c>
      <c r="E67" s="32" t="n">
        <f aca="false">O67</f>
        <v>341.6</v>
      </c>
      <c r="F67" s="42" t="s">
        <v>229</v>
      </c>
      <c r="G67" s="34" t="n">
        <f aca="false">1866.75/5/1.2*1.05</f>
        <v>326.68</v>
      </c>
      <c r="H67" s="34" t="n">
        <f aca="false">D67*G67</f>
        <v>13883.9</v>
      </c>
      <c r="I67" s="42" t="s">
        <v>230</v>
      </c>
      <c r="J67" s="34" t="n">
        <f aca="false">1990/5/1.2*1.05</f>
        <v>348.25</v>
      </c>
      <c r="K67" s="34" t="n">
        <f aca="false">D67*J67</f>
        <v>14800.63</v>
      </c>
      <c r="L67" s="42" t="s">
        <v>231</v>
      </c>
      <c r="M67" s="34" t="n">
        <f aca="false">1999.2/5/1.2*1.05</f>
        <v>349.86</v>
      </c>
      <c r="N67" s="34" t="n">
        <f aca="false">D67*M67</f>
        <v>14869.05</v>
      </c>
      <c r="O67" s="35" t="n">
        <f aca="false">AVERAGE(G67,J67,M67)</f>
        <v>341.6</v>
      </c>
      <c r="P67" s="36" t="n">
        <f aca="false">E67*100/O67-100</f>
        <v>0</v>
      </c>
      <c r="Q67" s="35" t="n">
        <f aca="false">O67*D67</f>
        <v>14518</v>
      </c>
      <c r="R67" s="37"/>
      <c r="T67" s="39" t="n">
        <f aca="false">ROUND(G67*100/O67-100,0)</f>
        <v>-4</v>
      </c>
      <c r="U67" s="39" t="n">
        <f aca="false">ROUND(J67*100/O67-100,0)</f>
        <v>2</v>
      </c>
      <c r="V67" s="39" t="n">
        <f aca="false">ROUND(M67*100/O67-100,0)</f>
        <v>2</v>
      </c>
    </row>
    <row r="68" s="38" customFormat="true" ht="63.75" hidden="false" customHeight="true" outlineLevel="0" collapsed="false">
      <c r="A68" s="28" t="n">
        <v>58</v>
      </c>
      <c r="B68" s="43" t="s">
        <v>232</v>
      </c>
      <c r="C68" s="44" t="s">
        <v>143</v>
      </c>
      <c r="D68" s="45" t="n">
        <v>3</v>
      </c>
      <c r="E68" s="32" t="n">
        <f aca="false">O68</f>
        <v>878.57</v>
      </c>
      <c r="F68" s="42" t="s">
        <v>233</v>
      </c>
      <c r="G68" s="47" t="n">
        <f aca="false">984.43/1.2*1.05</f>
        <v>861.38</v>
      </c>
      <c r="H68" s="47" t="n">
        <f aca="false">D68*G68</f>
        <v>2584.14</v>
      </c>
      <c r="I68" s="42" t="s">
        <v>234</v>
      </c>
      <c r="J68" s="47" t="n">
        <f aca="false">1036/1.2*1.05</f>
        <v>906.5</v>
      </c>
      <c r="K68" s="47" t="n">
        <f aca="false">D68*J68</f>
        <v>2719.5</v>
      </c>
      <c r="L68" s="42" t="s">
        <v>235</v>
      </c>
      <c r="M68" s="47" t="n">
        <f aca="false">991.8/1.2*1.05</f>
        <v>867.83</v>
      </c>
      <c r="N68" s="47" t="n">
        <f aca="false">D68*M68</f>
        <v>2603.49</v>
      </c>
      <c r="O68" s="48" t="n">
        <f aca="false">AVERAGE(G68,J68,M68)</f>
        <v>878.57</v>
      </c>
      <c r="P68" s="36" t="n">
        <f aca="false">E68*100/O68-100</f>
        <v>0</v>
      </c>
      <c r="Q68" s="35" t="n">
        <f aca="false">O68*D68</f>
        <v>2635.71</v>
      </c>
      <c r="R68" s="37"/>
      <c r="T68" s="39" t="n">
        <f aca="false">ROUND(G68*100/O68-100,0)</f>
        <v>-2</v>
      </c>
      <c r="U68" s="39" t="n">
        <f aca="false">ROUND(J68*100/O68-100,0)</f>
        <v>3</v>
      </c>
      <c r="V68" s="39" t="n">
        <f aca="false">ROUND(M68*100/O68-100,0)</f>
        <v>-1</v>
      </c>
    </row>
    <row r="69" s="38" customFormat="true" ht="105" hidden="false" customHeight="true" outlineLevel="0" collapsed="false">
      <c r="A69" s="28" t="n">
        <v>59</v>
      </c>
      <c r="B69" s="43" t="s">
        <v>236</v>
      </c>
      <c r="C69" s="44" t="s">
        <v>143</v>
      </c>
      <c r="D69" s="45" t="n">
        <v>3</v>
      </c>
      <c r="E69" s="32" t="n">
        <f aca="false">O69</f>
        <v>1226.01</v>
      </c>
      <c r="F69" s="33" t="s">
        <v>237</v>
      </c>
      <c r="G69" s="47" t="n">
        <f aca="false">1566/1.2*1.05</f>
        <v>1370.25</v>
      </c>
      <c r="H69" s="47" t="n">
        <f aca="false">D69*G69</f>
        <v>4110.75</v>
      </c>
      <c r="I69" s="33" t="s">
        <v>238</v>
      </c>
      <c r="J69" s="47" t="n">
        <f aca="false">1331.46/1.2*1.05</f>
        <v>1165.03</v>
      </c>
      <c r="K69" s="47" t="n">
        <f aca="false">D69*J69</f>
        <v>3495.09</v>
      </c>
      <c r="L69" s="33" t="s">
        <v>239</v>
      </c>
      <c r="M69" s="47" t="n">
        <f aca="false">1306/1.2*1.05</f>
        <v>1142.75</v>
      </c>
      <c r="N69" s="47" t="n">
        <f aca="false">D69*M69</f>
        <v>3428.25</v>
      </c>
      <c r="O69" s="48" t="n">
        <f aca="false">AVERAGE(G69,J69,M69)</f>
        <v>1226.01</v>
      </c>
      <c r="P69" s="36" t="n">
        <f aca="false">E69*100/O69-100</f>
        <v>0</v>
      </c>
      <c r="Q69" s="35" t="n">
        <f aca="false">O69*D69</f>
        <v>3678.03</v>
      </c>
      <c r="R69" s="37"/>
      <c r="T69" s="39" t="n">
        <f aca="false">ROUND(G69*100/O69-100,0)</f>
        <v>12</v>
      </c>
      <c r="U69" s="39" t="n">
        <f aca="false">ROUND(J69*100/O69-100,0)</f>
        <v>-5</v>
      </c>
      <c r="V69" s="39" t="n">
        <f aca="false">ROUND(M69*100/O69-100,0)</f>
        <v>-7</v>
      </c>
    </row>
    <row r="70" s="38" customFormat="true" ht="75" hidden="false" customHeight="true" outlineLevel="0" collapsed="false">
      <c r="A70" s="28" t="n">
        <v>60</v>
      </c>
      <c r="B70" s="43" t="s">
        <v>240</v>
      </c>
      <c r="C70" s="44" t="s">
        <v>143</v>
      </c>
      <c r="D70" s="45" t="n">
        <v>1</v>
      </c>
      <c r="E70" s="32" t="n">
        <f aca="false">O70</f>
        <v>3748.79</v>
      </c>
      <c r="F70" s="49" t="s">
        <v>241</v>
      </c>
      <c r="G70" s="47" t="n">
        <f aca="false">4248/1.2*1.05</f>
        <v>3717</v>
      </c>
      <c r="H70" s="47" t="n">
        <f aca="false">D70*G70</f>
        <v>3717</v>
      </c>
      <c r="I70" s="49" t="s">
        <v>242</v>
      </c>
      <c r="J70" s="47" t="n">
        <f aca="false">4240/1.2*1.05</f>
        <v>3710</v>
      </c>
      <c r="K70" s="47" t="n">
        <f aca="false">D70*J70</f>
        <v>3710</v>
      </c>
      <c r="L70" s="49" t="s">
        <v>243</v>
      </c>
      <c r="M70" s="47" t="n">
        <f aca="false">4365/1.2*1.05</f>
        <v>3819.38</v>
      </c>
      <c r="N70" s="47" t="n">
        <f aca="false">D70*M70</f>
        <v>3819.38</v>
      </c>
      <c r="O70" s="48" t="n">
        <f aca="false">AVERAGE(G70,J70,M70)</f>
        <v>3748.79</v>
      </c>
      <c r="P70" s="36" t="n">
        <f aca="false">E70*100/O70-100</f>
        <v>0</v>
      </c>
      <c r="Q70" s="35" t="n">
        <f aca="false">O70*D70</f>
        <v>3748.79</v>
      </c>
      <c r="R70" s="37" t="s">
        <v>244</v>
      </c>
      <c r="T70" s="39" t="n">
        <f aca="false">ROUND(G70*100/O70-100,0)</f>
        <v>-1</v>
      </c>
      <c r="U70" s="39" t="n">
        <f aca="false">ROUND(J70*100/O70-100,0)</f>
        <v>-1</v>
      </c>
      <c r="V70" s="39" t="n">
        <f aca="false">ROUND(M70*100/O70-100,0)</f>
        <v>2</v>
      </c>
    </row>
    <row r="71" s="38" customFormat="true" ht="51" hidden="false" customHeight="true" outlineLevel="0" collapsed="false">
      <c r="A71" s="28" t="n">
        <v>61</v>
      </c>
      <c r="B71" s="43" t="s">
        <v>245</v>
      </c>
      <c r="C71" s="44" t="s">
        <v>143</v>
      </c>
      <c r="D71" s="45" t="n">
        <v>2</v>
      </c>
      <c r="E71" s="32" t="n">
        <f aca="false">O71</f>
        <v>791.59</v>
      </c>
      <c r="F71" s="42" t="s">
        <v>246</v>
      </c>
      <c r="G71" s="34" t="n">
        <f aca="false">925/1.2*1.05</f>
        <v>809.38</v>
      </c>
      <c r="H71" s="34" t="n">
        <f aca="false">D71*G71</f>
        <v>1618.76</v>
      </c>
      <c r="I71" s="46" t="s">
        <v>247</v>
      </c>
      <c r="J71" s="34" t="n">
        <f aca="false">880/1.2*1.05</f>
        <v>770</v>
      </c>
      <c r="K71" s="34" t="n">
        <f aca="false">D71*J71</f>
        <v>1540</v>
      </c>
      <c r="L71" s="42" t="s">
        <v>248</v>
      </c>
      <c r="M71" s="34" t="n">
        <f aca="false">909/1.2*1.05</f>
        <v>795.38</v>
      </c>
      <c r="N71" s="34" t="n">
        <f aca="false">D71*M71</f>
        <v>1590.76</v>
      </c>
      <c r="O71" s="35" t="n">
        <f aca="false">AVERAGE(G71,J71,M71)</f>
        <v>791.59</v>
      </c>
      <c r="P71" s="36" t="n">
        <f aca="false">E71*100/O71-100</f>
        <v>0</v>
      </c>
      <c r="Q71" s="35" t="n">
        <f aca="false">O71*D71</f>
        <v>1583.18</v>
      </c>
      <c r="R71" s="37"/>
      <c r="T71" s="39" t="n">
        <f aca="false">ROUND(G71*100/O71-100,0)</f>
        <v>2</v>
      </c>
      <c r="U71" s="39" t="n">
        <f aca="false">ROUND(J71*100/O71-100,0)</f>
        <v>-3</v>
      </c>
      <c r="V71" s="39" t="n">
        <f aca="false">ROUND(M71*100/O71-100,0)</f>
        <v>0</v>
      </c>
    </row>
    <row r="72" s="38" customFormat="true" ht="127.5" hidden="false" customHeight="true" outlineLevel="0" collapsed="false">
      <c r="A72" s="28" t="n">
        <v>62</v>
      </c>
      <c r="B72" s="43" t="s">
        <v>249</v>
      </c>
      <c r="C72" s="44" t="s">
        <v>143</v>
      </c>
      <c r="D72" s="45" t="n">
        <v>1</v>
      </c>
      <c r="E72" s="32" t="n">
        <f aca="false">O72</f>
        <v>1247.17</v>
      </c>
      <c r="F72" s="42" t="s">
        <v>250</v>
      </c>
      <c r="G72" s="34" t="n">
        <f aca="false">1586/1.2*1.05</f>
        <v>1387.75</v>
      </c>
      <c r="H72" s="34" t="n">
        <f aca="false">D72*G72</f>
        <v>1387.75</v>
      </c>
      <c r="I72" s="42" t="s">
        <v>251</v>
      </c>
      <c r="J72" s="34" t="n">
        <f aca="false">1453/1.2*1.05</f>
        <v>1271.38</v>
      </c>
      <c r="K72" s="34" t="n">
        <f aca="false">D72*J72</f>
        <v>1271.38</v>
      </c>
      <c r="L72" s="42" t="s">
        <v>252</v>
      </c>
      <c r="M72" s="34" t="n">
        <f aca="false">1237/1.2*1.05</f>
        <v>1082.38</v>
      </c>
      <c r="N72" s="34" t="n">
        <f aca="false">D72*M72</f>
        <v>1082.38</v>
      </c>
      <c r="O72" s="35" t="n">
        <f aca="false">AVERAGE(G72,J72,M72)</f>
        <v>1247.17</v>
      </c>
      <c r="P72" s="36" t="n">
        <f aca="false">E72*100/O72-100</f>
        <v>0</v>
      </c>
      <c r="Q72" s="35" t="n">
        <f aca="false">O72*D72</f>
        <v>1247.17</v>
      </c>
      <c r="R72" s="37"/>
      <c r="T72" s="39" t="n">
        <f aca="false">ROUND(G72*100/O72-100,0)</f>
        <v>11</v>
      </c>
      <c r="U72" s="39" t="n">
        <f aca="false">ROUND(J72*100/O72-100,0)</f>
        <v>2</v>
      </c>
      <c r="V72" s="39" t="n">
        <f aca="false">ROUND(M72*100/O72-100,0)</f>
        <v>-13</v>
      </c>
    </row>
    <row r="73" s="38" customFormat="true" ht="38.25" hidden="false" customHeight="true" outlineLevel="0" collapsed="false">
      <c r="A73" s="28" t="n">
        <v>63</v>
      </c>
      <c r="B73" s="43" t="s">
        <v>253</v>
      </c>
      <c r="C73" s="44" t="s">
        <v>143</v>
      </c>
      <c r="D73" s="45" t="n">
        <v>4</v>
      </c>
      <c r="E73" s="32" t="n">
        <f aca="false">O73</f>
        <v>461.85</v>
      </c>
      <c r="F73" s="42" t="s">
        <v>254</v>
      </c>
      <c r="G73" s="34" t="n">
        <f aca="false">1047/2/1.2*1.05</f>
        <v>458.06</v>
      </c>
      <c r="H73" s="34" t="n">
        <f aca="false">D73*G73</f>
        <v>1832.24</v>
      </c>
      <c r="I73" s="42" t="s">
        <v>255</v>
      </c>
      <c r="J73" s="34" t="n">
        <f aca="false">558/1.2*1.05</f>
        <v>488.25</v>
      </c>
      <c r="K73" s="34" t="n">
        <f aca="false">D73*J73</f>
        <v>1953</v>
      </c>
      <c r="L73" s="42" t="s">
        <v>256</v>
      </c>
      <c r="M73" s="34" t="n">
        <f aca="false">502/1.2*1.05</f>
        <v>439.25</v>
      </c>
      <c r="N73" s="34" t="n">
        <f aca="false">D73*M73</f>
        <v>1757</v>
      </c>
      <c r="O73" s="35" t="n">
        <f aca="false">AVERAGE(G73,J73,M73)</f>
        <v>461.85</v>
      </c>
      <c r="P73" s="36" t="n">
        <f aca="false">E73*100/O73-100</f>
        <v>0</v>
      </c>
      <c r="Q73" s="35" t="n">
        <f aca="false">O73*D73</f>
        <v>1847.4</v>
      </c>
      <c r="R73" s="37"/>
      <c r="T73" s="39" t="n">
        <f aca="false">ROUND(G73*100/O73-100,0)</f>
        <v>-1</v>
      </c>
      <c r="U73" s="39" t="n">
        <f aca="false">ROUND(J73*100/O73-100,0)</f>
        <v>6</v>
      </c>
      <c r="V73" s="39" t="n">
        <f aca="false">ROUND(M73*100/O73-100,0)</f>
        <v>-5</v>
      </c>
    </row>
    <row r="74" s="38" customFormat="true" ht="51" hidden="false" customHeight="true" outlineLevel="0" collapsed="false">
      <c r="A74" s="28" t="n">
        <v>64</v>
      </c>
      <c r="B74" s="43" t="s">
        <v>257</v>
      </c>
      <c r="C74" s="44" t="s">
        <v>143</v>
      </c>
      <c r="D74" s="45" t="n">
        <v>1</v>
      </c>
      <c r="E74" s="32" t="n">
        <f aca="false">O74</f>
        <v>1400.88</v>
      </c>
      <c r="F74" s="42" t="s">
        <v>258</v>
      </c>
      <c r="G74" s="47" t="n">
        <f aca="false">1633/1.2*1.05</f>
        <v>1428.88</v>
      </c>
      <c r="H74" s="47" t="n">
        <f aca="false">D74*G74</f>
        <v>1428.88</v>
      </c>
      <c r="I74" s="42" t="s">
        <v>259</v>
      </c>
      <c r="J74" s="47" t="n">
        <f aca="false">1679/1.2*1.05</f>
        <v>1469.13</v>
      </c>
      <c r="K74" s="47" t="n">
        <f aca="false">D74*J74</f>
        <v>1469.13</v>
      </c>
      <c r="L74" s="42" t="s">
        <v>260</v>
      </c>
      <c r="M74" s="47" t="n">
        <f aca="false">1491/1.2*1.05</f>
        <v>1304.63</v>
      </c>
      <c r="N74" s="47" t="n">
        <f aca="false">D74*M74</f>
        <v>1304.63</v>
      </c>
      <c r="O74" s="48" t="n">
        <f aca="false">AVERAGE(G74,J74,M74)</f>
        <v>1400.88</v>
      </c>
      <c r="P74" s="36" t="n">
        <f aca="false">E74*100/O74-100</f>
        <v>0</v>
      </c>
      <c r="Q74" s="35" t="n">
        <f aca="false">O74*D74</f>
        <v>1400.88</v>
      </c>
      <c r="R74" s="37" t="s">
        <v>261</v>
      </c>
      <c r="T74" s="39" t="n">
        <f aca="false">ROUND(G74*100/O74-100,0)</f>
        <v>2</v>
      </c>
      <c r="U74" s="39" t="n">
        <f aca="false">ROUND(J74*100/O74-100,0)</f>
        <v>5</v>
      </c>
      <c r="V74" s="39" t="n">
        <f aca="false">ROUND(M74*100/O74-100,0)</f>
        <v>-7</v>
      </c>
    </row>
    <row r="75" s="38" customFormat="true" ht="51" hidden="false" customHeight="true" outlineLevel="0" collapsed="false">
      <c r="A75" s="28" t="n">
        <v>65</v>
      </c>
      <c r="B75" s="43" t="s">
        <v>262</v>
      </c>
      <c r="C75" s="44" t="s">
        <v>143</v>
      </c>
      <c r="D75" s="45" t="n">
        <v>5</v>
      </c>
      <c r="E75" s="32" t="n">
        <f aca="false">O75</f>
        <v>5502.64</v>
      </c>
      <c r="F75" s="42" t="s">
        <v>263</v>
      </c>
      <c r="G75" s="47" t="n">
        <f aca="false">6500/1.2*1.05</f>
        <v>5687.5</v>
      </c>
      <c r="H75" s="47" t="n">
        <f aca="false">D75*G75</f>
        <v>28437.5</v>
      </c>
      <c r="I75" s="42" t="s">
        <v>264</v>
      </c>
      <c r="J75" s="47" t="n">
        <f aca="false">6520/1.2*1.05</f>
        <v>5705</v>
      </c>
      <c r="K75" s="47" t="n">
        <f aca="false">D75*J75</f>
        <v>28525</v>
      </c>
      <c r="L75" s="42" t="s">
        <v>265</v>
      </c>
      <c r="M75" s="47" t="n">
        <f aca="false">5846.19/1.2*1.05</f>
        <v>5115.42</v>
      </c>
      <c r="N75" s="47" t="n">
        <f aca="false">D75*M75</f>
        <v>25577.1</v>
      </c>
      <c r="O75" s="48" t="n">
        <f aca="false">AVERAGE(G75,J75,M75)</f>
        <v>5502.64</v>
      </c>
      <c r="P75" s="36" t="n">
        <f aca="false">E75*100/O75-100</f>
        <v>0</v>
      </c>
      <c r="Q75" s="35" t="n">
        <f aca="false">O75*D75</f>
        <v>27513.2</v>
      </c>
      <c r="R75" s="37"/>
      <c r="T75" s="39" t="n">
        <f aca="false">ROUND(G75*100/O75-100,0)</f>
        <v>3</v>
      </c>
      <c r="U75" s="39" t="n">
        <f aca="false">ROUND(J75*100/O75-100,0)</f>
        <v>4</v>
      </c>
      <c r="V75" s="39" t="n">
        <f aca="false">ROUND(M75*100/O75-100,0)</f>
        <v>-7</v>
      </c>
    </row>
    <row r="76" s="38" customFormat="true" ht="204" hidden="false" customHeight="true" outlineLevel="0" collapsed="false">
      <c r="A76" s="28" t="n">
        <v>66</v>
      </c>
      <c r="B76" s="43" t="s">
        <v>266</v>
      </c>
      <c r="C76" s="44" t="s">
        <v>143</v>
      </c>
      <c r="D76" s="45" t="n">
        <v>4</v>
      </c>
      <c r="E76" s="32" t="n">
        <f aca="false">O76</f>
        <v>3644.67</v>
      </c>
      <c r="F76" s="42" t="s">
        <v>267</v>
      </c>
      <c r="G76" s="47" t="n">
        <f aca="false">3789/1.2*1.05</f>
        <v>3315.38</v>
      </c>
      <c r="H76" s="47" t="n">
        <f aca="false">D76*G76</f>
        <v>13261.52</v>
      </c>
      <c r="I76" s="42" t="s">
        <v>268</v>
      </c>
      <c r="J76" s="47" t="n">
        <f aca="false">4921/1.2*1.05</f>
        <v>4305.88</v>
      </c>
      <c r="K76" s="47" t="n">
        <f aca="false">D76*J76</f>
        <v>17223.52</v>
      </c>
      <c r="L76" s="42" t="s">
        <v>269</v>
      </c>
      <c r="M76" s="47" t="n">
        <f aca="false">3786/1.2*1.05</f>
        <v>3312.75</v>
      </c>
      <c r="N76" s="47" t="n">
        <f aca="false">D76*M76</f>
        <v>13251</v>
      </c>
      <c r="O76" s="35" t="n">
        <f aca="false">AVERAGE(G76,J76,M76)</f>
        <v>3644.67</v>
      </c>
      <c r="P76" s="36" t="n">
        <f aca="false">E76*100/O76-100</f>
        <v>0</v>
      </c>
      <c r="Q76" s="35" t="n">
        <f aca="false">O76*D76</f>
        <v>14578.68</v>
      </c>
      <c r="R76" s="37"/>
      <c r="T76" s="39" t="n">
        <f aca="false">ROUND(G76*100/O76-100,0)</f>
        <v>-9</v>
      </c>
      <c r="U76" s="39" t="n">
        <f aca="false">ROUND(J76*100/O76-100,0)</f>
        <v>18</v>
      </c>
      <c r="V76" s="39" t="n">
        <f aca="false">ROUND(M76*100/O76-100,0)</f>
        <v>-9</v>
      </c>
    </row>
    <row r="77" s="38" customFormat="true" ht="63.75" hidden="false" customHeight="true" outlineLevel="0" collapsed="false">
      <c r="A77" s="28" t="n">
        <v>67</v>
      </c>
      <c r="B77" s="43" t="s">
        <v>270</v>
      </c>
      <c r="C77" s="44" t="s">
        <v>143</v>
      </c>
      <c r="D77" s="45" t="n">
        <v>1</v>
      </c>
      <c r="E77" s="32" t="n">
        <f aca="false">O77</f>
        <v>3376.63</v>
      </c>
      <c r="F77" s="42" t="s">
        <v>271</v>
      </c>
      <c r="G77" s="34" t="n">
        <f aca="false">3761/1.2*1.05</f>
        <v>3290.88</v>
      </c>
      <c r="H77" s="34" t="n">
        <f aca="false">D77*G77</f>
        <v>3290.88</v>
      </c>
      <c r="I77" s="42" t="s">
        <v>272</v>
      </c>
      <c r="J77" s="34" t="n">
        <f aca="false">4030/1.2*1.05</f>
        <v>3526.25</v>
      </c>
      <c r="K77" s="34" t="n">
        <f aca="false">D77*J77</f>
        <v>3526.25</v>
      </c>
      <c r="L77" s="42" t="s">
        <v>273</v>
      </c>
      <c r="M77" s="34" t="n">
        <f aca="false">3786/1.2*1.05</f>
        <v>3312.75</v>
      </c>
      <c r="N77" s="34" t="n">
        <f aca="false">D77*M77</f>
        <v>3312.75</v>
      </c>
      <c r="O77" s="35" t="n">
        <f aca="false">AVERAGE(G77,J77,M77)</f>
        <v>3376.63</v>
      </c>
      <c r="P77" s="36" t="n">
        <f aca="false">E77*100/O77-100</f>
        <v>0</v>
      </c>
      <c r="Q77" s="35" t="n">
        <f aca="false">O77*D77</f>
        <v>3376.63</v>
      </c>
      <c r="R77" s="37"/>
      <c r="T77" s="39" t="n">
        <f aca="false">ROUND(G77*100/O77-100,0)</f>
        <v>-3</v>
      </c>
      <c r="U77" s="39" t="n">
        <f aca="false">ROUND(J77*100/O77-100,0)</f>
        <v>4</v>
      </c>
      <c r="V77" s="39" t="n">
        <f aca="false">ROUND(M77*100/O77-100,0)</f>
        <v>-2</v>
      </c>
    </row>
    <row r="78" s="38" customFormat="true" ht="25.5" hidden="false" customHeight="true" outlineLevel="0" collapsed="false">
      <c r="A78" s="28" t="n">
        <v>68</v>
      </c>
      <c r="B78" s="43" t="s">
        <v>274</v>
      </c>
      <c r="C78" s="44" t="s">
        <v>143</v>
      </c>
      <c r="D78" s="45" t="n">
        <v>1</v>
      </c>
      <c r="E78" s="32" t="n">
        <f aca="false">O78</f>
        <v>4937.34</v>
      </c>
      <c r="F78" s="42" t="s">
        <v>275</v>
      </c>
      <c r="G78" s="34" t="n">
        <f aca="false">5641/1.2*1.05</f>
        <v>4935.88</v>
      </c>
      <c r="H78" s="34" t="n">
        <f aca="false">D78*G78</f>
        <v>4935.88</v>
      </c>
      <c r="I78" s="42" t="s">
        <v>276</v>
      </c>
      <c r="J78" s="34" t="n">
        <f aca="false">5667/1.2*1.05</f>
        <v>4958.63</v>
      </c>
      <c r="K78" s="34" t="n">
        <f aca="false">D78*J78</f>
        <v>4958.63</v>
      </c>
      <c r="L78" s="42" t="s">
        <v>277</v>
      </c>
      <c r="M78" s="34" t="n">
        <f aca="false">5620/1.2*1.05</f>
        <v>4917.5</v>
      </c>
      <c r="N78" s="34" t="n">
        <f aca="false">D78*M78</f>
        <v>4917.5</v>
      </c>
      <c r="O78" s="35" t="n">
        <f aca="false">AVERAGE(G78,J78,M78)</f>
        <v>4937.34</v>
      </c>
      <c r="P78" s="36" t="n">
        <f aca="false">E78*100/O78-100</f>
        <v>0</v>
      </c>
      <c r="Q78" s="35" t="n">
        <f aca="false">O78*D78</f>
        <v>4937.34</v>
      </c>
      <c r="R78" s="37"/>
      <c r="T78" s="39" t="n">
        <f aca="false">ROUND(G78*100/O78-100,0)</f>
        <v>-0</v>
      </c>
      <c r="U78" s="39" t="n">
        <f aca="false">ROUND(J78*100/O78-100,0)</f>
        <v>0</v>
      </c>
      <c r="V78" s="39" t="n">
        <f aca="false">ROUND(M78*100/O78-100,0)</f>
        <v>-0</v>
      </c>
    </row>
    <row r="79" s="38" customFormat="true" ht="63.75" hidden="false" customHeight="true" outlineLevel="0" collapsed="false">
      <c r="A79" s="28" t="n">
        <v>69</v>
      </c>
      <c r="B79" s="43" t="s">
        <v>278</v>
      </c>
      <c r="C79" s="44" t="s">
        <v>143</v>
      </c>
      <c r="D79" s="45" t="n">
        <v>4</v>
      </c>
      <c r="E79" s="32" t="n">
        <f aca="false">O79</f>
        <v>1641.5</v>
      </c>
      <c r="F79" s="42" t="s">
        <v>279</v>
      </c>
      <c r="G79" s="34" t="n">
        <f aca="false">1878/1.2*1.05</f>
        <v>1643.25</v>
      </c>
      <c r="H79" s="34" t="n">
        <f aca="false">D79*G79</f>
        <v>6573</v>
      </c>
      <c r="I79" s="42" t="s">
        <v>280</v>
      </c>
      <c r="J79" s="34" t="n">
        <f aca="false">1850/1.2*1.05</f>
        <v>1618.75</v>
      </c>
      <c r="K79" s="34" t="n">
        <f aca="false">D79*J79</f>
        <v>6475</v>
      </c>
      <c r="L79" s="42" t="s">
        <v>281</v>
      </c>
      <c r="M79" s="34" t="n">
        <f aca="false">1900/1.2*1.05</f>
        <v>1662.5</v>
      </c>
      <c r="N79" s="34" t="n">
        <f aca="false">D79*M79</f>
        <v>6650</v>
      </c>
      <c r="O79" s="35" t="n">
        <f aca="false">AVERAGE(G79,J79,M79)</f>
        <v>1641.5</v>
      </c>
      <c r="P79" s="36" t="n">
        <f aca="false">E79*100/O79-100</f>
        <v>0</v>
      </c>
      <c r="Q79" s="35" t="n">
        <f aca="false">O79*D79</f>
        <v>6566</v>
      </c>
      <c r="R79" s="37"/>
      <c r="T79" s="39" t="n">
        <f aca="false">ROUND(G79*100/O79-100,0)</f>
        <v>0</v>
      </c>
      <c r="U79" s="39" t="n">
        <f aca="false">ROUND(J79*100/O79-100,0)</f>
        <v>-1</v>
      </c>
      <c r="V79" s="39" t="n">
        <f aca="false">ROUND(M79*100/O79-100,0)</f>
        <v>1</v>
      </c>
    </row>
    <row r="80" s="38" customFormat="true" ht="51" hidden="false" customHeight="true" outlineLevel="0" collapsed="false">
      <c r="A80" s="28" t="n">
        <v>70</v>
      </c>
      <c r="B80" s="43" t="s">
        <v>282</v>
      </c>
      <c r="C80" s="44" t="s">
        <v>143</v>
      </c>
      <c r="D80" s="45" t="n">
        <v>10</v>
      </c>
      <c r="E80" s="32" t="n">
        <f aca="false">O80</f>
        <v>1630.13</v>
      </c>
      <c r="F80" s="42" t="s">
        <v>283</v>
      </c>
      <c r="G80" s="34" t="n">
        <f aca="false">2120/1.2*1.05</f>
        <v>1855</v>
      </c>
      <c r="H80" s="47" t="n">
        <f aca="false">D80*G80</f>
        <v>18550</v>
      </c>
      <c r="I80" s="50" t="s">
        <v>284</v>
      </c>
      <c r="J80" s="34" t="n">
        <f aca="false">1769/1.2*1.05</f>
        <v>1547.88</v>
      </c>
      <c r="K80" s="47" t="n">
        <f aca="false">D80*J80</f>
        <v>15478.8</v>
      </c>
      <c r="L80" s="50" t="s">
        <v>285</v>
      </c>
      <c r="M80" s="47" t="n">
        <f aca="false">1700/1.2*1.05</f>
        <v>1487.5</v>
      </c>
      <c r="N80" s="47" t="n">
        <f aca="false">D80*M80</f>
        <v>14875</v>
      </c>
      <c r="O80" s="35" t="n">
        <f aca="false">AVERAGE(G80,J80,M80)</f>
        <v>1630.13</v>
      </c>
      <c r="P80" s="36" t="n">
        <f aca="false">E80*100/O80-100</f>
        <v>0</v>
      </c>
      <c r="Q80" s="35" t="n">
        <f aca="false">O80*D80</f>
        <v>16301.3</v>
      </c>
      <c r="R80" s="37"/>
      <c r="T80" s="39" t="n">
        <f aca="false">ROUND(G80*100/O80-100,0)</f>
        <v>14</v>
      </c>
      <c r="U80" s="39" t="n">
        <f aca="false">ROUND(J80*100/O80-100,0)</f>
        <v>-5</v>
      </c>
      <c r="V80" s="39" t="n">
        <f aca="false">ROUND(M80*100/O80-100,0)</f>
        <v>-9</v>
      </c>
    </row>
    <row r="81" s="38" customFormat="true" ht="105" hidden="false" customHeight="true" outlineLevel="0" collapsed="false">
      <c r="A81" s="28" t="n">
        <v>71</v>
      </c>
      <c r="B81" s="51" t="s">
        <v>286</v>
      </c>
      <c r="C81" s="52" t="s">
        <v>287</v>
      </c>
      <c r="D81" s="53" t="n">
        <v>2.69</v>
      </c>
      <c r="E81" s="32" t="n">
        <f aca="false">O81</f>
        <v>4642.65</v>
      </c>
      <c r="F81" s="33" t="s">
        <v>288</v>
      </c>
      <c r="G81" s="34" t="n">
        <f aca="false">(423/85)*1000/1.2*1.05</f>
        <v>4354.41</v>
      </c>
      <c r="H81" s="34" t="n">
        <f aca="false">D81*G81</f>
        <v>11713.36</v>
      </c>
      <c r="I81" s="33" t="s">
        <v>289</v>
      </c>
      <c r="J81" s="34" t="n">
        <f aca="false">(480/85)*1000/1.2*1.05</f>
        <v>4941.18</v>
      </c>
      <c r="K81" s="34" t="n">
        <f aca="false">D81*J81</f>
        <v>13291.77</v>
      </c>
      <c r="L81" s="33" t="s">
        <v>290</v>
      </c>
      <c r="M81" s="34" t="n">
        <f aca="false">(450/85)*1000*1.05/1.2</f>
        <v>4632.35</v>
      </c>
      <c r="N81" s="34" t="n">
        <f aca="false">D81*M81</f>
        <v>12461.02</v>
      </c>
      <c r="O81" s="35" t="n">
        <f aca="false">AVERAGE(G81,J81,M81)</f>
        <v>4642.65</v>
      </c>
      <c r="P81" s="36" t="n">
        <f aca="false">E81*100/O81-100</f>
        <v>0</v>
      </c>
      <c r="Q81" s="35" t="n">
        <f aca="false">O81*D81</f>
        <v>12488.73</v>
      </c>
      <c r="R81" s="37"/>
      <c r="T81" s="39" t="n">
        <f aca="false">ROUND(G81*100/O81-100,0)</f>
        <v>-6</v>
      </c>
      <c r="U81" s="39" t="n">
        <f aca="false">ROUND(J81*100/O81-100,0)</f>
        <v>6</v>
      </c>
      <c r="V81" s="39" t="n">
        <f aca="false">ROUND(M81*100/O81-100,0)</f>
        <v>-0</v>
      </c>
    </row>
    <row r="82" s="38" customFormat="true" ht="105" hidden="false" customHeight="true" outlineLevel="0" collapsed="false">
      <c r="A82" s="28" t="n">
        <v>72</v>
      </c>
      <c r="B82" s="54" t="s">
        <v>291</v>
      </c>
      <c r="C82" s="55" t="s">
        <v>64</v>
      </c>
      <c r="D82" s="56" t="n">
        <v>120</v>
      </c>
      <c r="E82" s="32" t="n">
        <f aca="false">O82</f>
        <v>1554.59</v>
      </c>
      <c r="F82" s="33" t="s">
        <v>292</v>
      </c>
      <c r="G82" s="34" t="n">
        <f aca="false">1723/1.2*1.05</f>
        <v>1507.63</v>
      </c>
      <c r="H82" s="34" t="n">
        <f aca="false">D82*G82</f>
        <v>180915.6</v>
      </c>
      <c r="I82" s="33" t="s">
        <v>293</v>
      </c>
      <c r="J82" s="34" t="n">
        <f aca="false">1792/1.2*1.05</f>
        <v>1568</v>
      </c>
      <c r="K82" s="34" t="n">
        <f aca="false">D82*J82</f>
        <v>188160</v>
      </c>
      <c r="L82" s="33" t="s">
        <v>294</v>
      </c>
      <c r="M82" s="34" t="n">
        <f aca="false">1815/1.2*1.05</f>
        <v>1588.13</v>
      </c>
      <c r="N82" s="34" t="n">
        <f aca="false">D82*M82</f>
        <v>190575.6</v>
      </c>
      <c r="O82" s="35" t="n">
        <f aca="false">AVERAGE(G82,J82,M82)</f>
        <v>1554.59</v>
      </c>
      <c r="P82" s="36" t="n">
        <f aca="false">E82*100/O82-100</f>
        <v>0</v>
      </c>
      <c r="Q82" s="35" t="n">
        <f aca="false">O82*D82</f>
        <v>186550.8</v>
      </c>
      <c r="R82" s="37"/>
      <c r="T82" s="39" t="n">
        <f aca="false">ROUND(G82*100/O82-100,0)</f>
        <v>-3</v>
      </c>
      <c r="U82" s="39" t="n">
        <f aca="false">ROUND(J82*100/O82-100,0)</f>
        <v>1</v>
      </c>
      <c r="V82" s="39" t="n">
        <f aca="false">ROUND(M82*100/O82-100,0)</f>
        <v>2</v>
      </c>
    </row>
    <row r="83" s="38" customFormat="true" ht="150" hidden="false" customHeight="true" outlineLevel="0" collapsed="false">
      <c r="A83" s="28" t="n">
        <v>73</v>
      </c>
      <c r="B83" s="57" t="s">
        <v>295</v>
      </c>
      <c r="C83" s="58" t="s">
        <v>143</v>
      </c>
      <c r="D83" s="59" t="n">
        <v>400</v>
      </c>
      <c r="E83" s="32" t="n">
        <f aca="false">O83</f>
        <v>100.95</v>
      </c>
      <c r="F83" s="33" t="s">
        <v>296</v>
      </c>
      <c r="G83" s="34" t="n">
        <f aca="false">116/1.2*1.05</f>
        <v>101.5</v>
      </c>
      <c r="H83" s="34" t="n">
        <f aca="false">D83*G83</f>
        <v>40600</v>
      </c>
      <c r="I83" s="33" t="s">
        <v>297</v>
      </c>
      <c r="J83" s="34" t="n">
        <f aca="false">114/1.2*1.05</f>
        <v>99.75</v>
      </c>
      <c r="K83" s="34" t="n">
        <f aca="false">D83*J83</f>
        <v>39900</v>
      </c>
      <c r="L83" s="33" t="s">
        <v>298</v>
      </c>
      <c r="M83" s="34" t="n">
        <f aca="false">116.1/1.2*1.05</f>
        <v>101.59</v>
      </c>
      <c r="N83" s="34" t="n">
        <f aca="false">D83*M83</f>
        <v>40636</v>
      </c>
      <c r="O83" s="35" t="n">
        <f aca="false">AVERAGE(G83,J83,M83)</f>
        <v>100.95</v>
      </c>
      <c r="P83" s="36" t="n">
        <f aca="false">E83*100/O83-100</f>
        <v>0</v>
      </c>
      <c r="Q83" s="35" t="n">
        <f aca="false">O83*D83</f>
        <v>40380</v>
      </c>
      <c r="R83" s="37"/>
      <c r="T83" s="39" t="n">
        <f aca="false">ROUND(G83*100/O83-100,0)</f>
        <v>1</v>
      </c>
      <c r="U83" s="39" t="n">
        <f aca="false">ROUND(J83*100/O83-100,0)</f>
        <v>-1</v>
      </c>
      <c r="V83" s="39" t="n">
        <f aca="false">ROUND(M83*100/O83-100,0)</f>
        <v>1</v>
      </c>
    </row>
    <row r="84" s="38" customFormat="true" ht="76.5" hidden="false" customHeight="true" outlineLevel="0" collapsed="false">
      <c r="A84" s="28" t="n">
        <v>74</v>
      </c>
      <c r="B84" s="57" t="s">
        <v>299</v>
      </c>
      <c r="C84" s="58" t="s">
        <v>143</v>
      </c>
      <c r="D84" s="59" t="n">
        <v>70</v>
      </c>
      <c r="E84" s="32" t="n">
        <f aca="false">O84</f>
        <v>2566.67</v>
      </c>
      <c r="F84" s="42" t="s">
        <v>300</v>
      </c>
      <c r="G84" s="34" t="n">
        <f aca="false">3100/1.2*1.05</f>
        <v>2712.5</v>
      </c>
      <c r="H84" s="34" t="n">
        <f aca="false">D84*G84</f>
        <v>189875</v>
      </c>
      <c r="I84" s="42" t="s">
        <v>301</v>
      </c>
      <c r="J84" s="34" t="n">
        <f aca="false">2900/1.2*1.05</f>
        <v>2537.5</v>
      </c>
      <c r="K84" s="34" t="n">
        <f aca="false">D84*J84</f>
        <v>177625</v>
      </c>
      <c r="L84" s="42" t="s">
        <v>302</v>
      </c>
      <c r="M84" s="34" t="n">
        <f aca="false">2800/1.2*1.05</f>
        <v>2450</v>
      </c>
      <c r="N84" s="34" t="n">
        <f aca="false">D84*M84</f>
        <v>171500</v>
      </c>
      <c r="O84" s="35" t="n">
        <f aca="false">AVERAGE(G84,J84,M84)</f>
        <v>2566.67</v>
      </c>
      <c r="P84" s="36" t="n">
        <f aca="false">E84*100/O84-100</f>
        <v>0</v>
      </c>
      <c r="Q84" s="35" t="n">
        <f aca="false">O84*D84</f>
        <v>179666.9</v>
      </c>
      <c r="R84" s="37"/>
      <c r="T84" s="39" t="n">
        <f aca="false">ROUND(G84*100/O84-100,0)</f>
        <v>6</v>
      </c>
      <c r="U84" s="39" t="n">
        <f aca="false">ROUND(J84*100/O84-100,0)</f>
        <v>-1</v>
      </c>
      <c r="V84" s="39" t="n">
        <f aca="false">ROUND(M84*100/O84-100,0)</f>
        <v>-5</v>
      </c>
    </row>
    <row r="85" s="38" customFormat="true" ht="114" hidden="false" customHeight="true" outlineLevel="0" collapsed="false">
      <c r="A85" s="28" t="n">
        <v>75</v>
      </c>
      <c r="B85" s="57" t="s">
        <v>303</v>
      </c>
      <c r="C85" s="58" t="s">
        <v>143</v>
      </c>
      <c r="D85" s="59" t="n">
        <v>100</v>
      </c>
      <c r="E85" s="32" t="n">
        <f aca="false">O85</f>
        <v>422.4</v>
      </c>
      <c r="F85" s="42" t="s">
        <v>304</v>
      </c>
      <c r="G85" s="34" t="n">
        <f aca="false">460.8/1.2*1.305</f>
        <v>501.12</v>
      </c>
      <c r="H85" s="34" t="n">
        <f aca="false">D85*G85</f>
        <v>50112</v>
      </c>
      <c r="I85" s="42" t="s">
        <v>305</v>
      </c>
      <c r="J85" s="34" t="n">
        <f aca="false">460.8/1.2*1.05</f>
        <v>403.2</v>
      </c>
      <c r="K85" s="34" t="n">
        <f aca="false">D85*J85</f>
        <v>40320</v>
      </c>
      <c r="L85" s="42" t="s">
        <v>306</v>
      </c>
      <c r="M85" s="34" t="n">
        <f aca="false">414.72/1.2*1.05</f>
        <v>362.88</v>
      </c>
      <c r="N85" s="34" t="n">
        <f aca="false">D85*M85</f>
        <v>36288</v>
      </c>
      <c r="O85" s="35" t="n">
        <f aca="false">AVERAGE(G85,J85,M85)</f>
        <v>422.4</v>
      </c>
      <c r="P85" s="36" t="n">
        <f aca="false">E85*100/O85-100</f>
        <v>0</v>
      </c>
      <c r="Q85" s="35" t="n">
        <f aca="false">O85*D85</f>
        <v>42240</v>
      </c>
      <c r="R85" s="37"/>
      <c r="T85" s="39" t="n">
        <f aca="false">ROUND(G85*100/O85-100,0)</f>
        <v>19</v>
      </c>
      <c r="U85" s="39" t="n">
        <f aca="false">ROUND(J85*100/O85-100,0)</f>
        <v>-5</v>
      </c>
      <c r="V85" s="39" t="n">
        <f aca="false">ROUND(M85*100/O85-100,0)</f>
        <v>-14</v>
      </c>
    </row>
    <row r="86" s="38" customFormat="true" ht="114" hidden="false" customHeight="true" outlineLevel="0" collapsed="false">
      <c r="A86" s="28" t="n">
        <v>76</v>
      </c>
      <c r="B86" s="57" t="s">
        <v>307</v>
      </c>
      <c r="C86" s="58" t="s">
        <v>143</v>
      </c>
      <c r="D86" s="59" t="n">
        <v>100</v>
      </c>
      <c r="E86" s="32" t="n">
        <f aca="false">O86</f>
        <v>2320.62</v>
      </c>
      <c r="F86" s="42" t="s">
        <v>308</v>
      </c>
      <c r="G86" s="34" t="n">
        <f aca="false">2884/1.2*1.05</f>
        <v>2523.5</v>
      </c>
      <c r="H86" s="34" t="n">
        <f aca="false">D86*G86</f>
        <v>252350</v>
      </c>
      <c r="I86" s="42" t="s">
        <v>309</v>
      </c>
      <c r="J86" s="34" t="n">
        <f aca="false">2699.42/1.2*1.05</f>
        <v>2361.99</v>
      </c>
      <c r="K86" s="34" t="n">
        <f aca="false">D86*J86</f>
        <v>236199</v>
      </c>
      <c r="L86" s="42" t="s">
        <v>310</v>
      </c>
      <c r="M86" s="34" t="n">
        <f aca="false">2373/1.2*1.05</f>
        <v>2076.38</v>
      </c>
      <c r="N86" s="34" t="n">
        <f aca="false">D86*M86</f>
        <v>207638</v>
      </c>
      <c r="O86" s="35" t="n">
        <f aca="false">AVERAGE(G86,J86,M86)</f>
        <v>2320.62</v>
      </c>
      <c r="P86" s="36" t="n">
        <f aca="false">E86*100/O86-100</f>
        <v>0</v>
      </c>
      <c r="Q86" s="35" t="n">
        <f aca="false">O86*D86</f>
        <v>232062</v>
      </c>
      <c r="R86" s="37"/>
      <c r="T86" s="39" t="n">
        <f aca="false">ROUND(G86*100/O86-100,0)</f>
        <v>9</v>
      </c>
      <c r="U86" s="39" t="n">
        <f aca="false">ROUND(J86*100/O86-100,0)</f>
        <v>2</v>
      </c>
      <c r="V86" s="39" t="n">
        <f aca="false">ROUND(M86*100/O86-100,0)</f>
        <v>-11</v>
      </c>
    </row>
    <row r="87" s="38" customFormat="true" ht="114" hidden="false" customHeight="true" outlineLevel="0" collapsed="false">
      <c r="A87" s="28" t="n">
        <v>77</v>
      </c>
      <c r="B87" s="57" t="s">
        <v>311</v>
      </c>
      <c r="C87" s="58" t="s">
        <v>143</v>
      </c>
      <c r="D87" s="59" t="n">
        <v>75</v>
      </c>
      <c r="E87" s="32" t="n">
        <f aca="false">O87</f>
        <v>423.14</v>
      </c>
      <c r="F87" s="42" t="s">
        <v>312</v>
      </c>
      <c r="G87" s="34" t="n">
        <f aca="false">500/1.2*1.05</f>
        <v>437.5</v>
      </c>
      <c r="H87" s="34" t="n">
        <f aca="false">D87*G87</f>
        <v>32812.5</v>
      </c>
      <c r="I87" s="42" t="s">
        <v>313</v>
      </c>
      <c r="J87" s="34" t="n">
        <f aca="false">450.36/1.2*1.05</f>
        <v>394.07</v>
      </c>
      <c r="K87" s="34" t="n">
        <f aca="false">D87*J87</f>
        <v>29555.25</v>
      </c>
      <c r="L87" s="42" t="s">
        <v>314</v>
      </c>
      <c r="M87" s="34" t="n">
        <f aca="false">500.4/1.2*1.05</f>
        <v>437.85</v>
      </c>
      <c r="N87" s="34" t="n">
        <f aca="false">D87*M87</f>
        <v>32838.75</v>
      </c>
      <c r="O87" s="35" t="n">
        <f aca="false">AVERAGE(G87,J87,M87)</f>
        <v>423.14</v>
      </c>
      <c r="P87" s="36" t="n">
        <f aca="false">E87*100/O87-100</f>
        <v>0</v>
      </c>
      <c r="Q87" s="35" t="n">
        <f aca="false">O87*D87</f>
        <v>31735.5</v>
      </c>
      <c r="R87" s="37"/>
      <c r="T87" s="39" t="n">
        <f aca="false">ROUND(G87*100/O87-100,0)</f>
        <v>3</v>
      </c>
      <c r="U87" s="39" t="n">
        <f aca="false">ROUND(J87*100/O87-100,0)</f>
        <v>-7</v>
      </c>
      <c r="V87" s="39" t="n">
        <f aca="false">ROUND(M87*100/O87-100,0)</f>
        <v>3</v>
      </c>
    </row>
    <row r="88" s="38" customFormat="true" ht="114" hidden="false" customHeight="true" outlineLevel="0" collapsed="false">
      <c r="A88" s="28" t="n">
        <v>78</v>
      </c>
      <c r="B88" s="57" t="s">
        <v>315</v>
      </c>
      <c r="C88" s="58" t="s">
        <v>143</v>
      </c>
      <c r="D88" s="59" t="n">
        <v>100</v>
      </c>
      <c r="E88" s="32" t="n">
        <f aca="false">O88</f>
        <v>438.71</v>
      </c>
      <c r="F88" s="42" t="s">
        <v>316</v>
      </c>
      <c r="G88" s="34" t="n">
        <f aca="false">510/1.2*1.05</f>
        <v>446.25</v>
      </c>
      <c r="H88" s="34" t="n">
        <f aca="false">D88*G88</f>
        <v>44625</v>
      </c>
      <c r="I88" s="42" t="s">
        <v>317</v>
      </c>
      <c r="J88" s="34" t="n">
        <f aca="false">514.8/1.2*1.05</f>
        <v>450.45</v>
      </c>
      <c r="K88" s="34" t="n">
        <f aca="false">D88*J88</f>
        <v>45045</v>
      </c>
      <c r="L88" s="42" t="s">
        <v>318</v>
      </c>
      <c r="M88" s="34" t="n">
        <f aca="false">479.34/1.2*1.05</f>
        <v>419.42</v>
      </c>
      <c r="N88" s="34" t="n">
        <f aca="false">D88*M88</f>
        <v>41942</v>
      </c>
      <c r="O88" s="35" t="n">
        <f aca="false">AVERAGE(G88,J88,M88)</f>
        <v>438.71</v>
      </c>
      <c r="P88" s="36" t="n">
        <f aca="false">E88*100/O88-100</f>
        <v>0</v>
      </c>
      <c r="Q88" s="35" t="n">
        <f aca="false">O88*D88</f>
        <v>43871</v>
      </c>
      <c r="R88" s="37"/>
      <c r="T88" s="39" t="n">
        <f aca="false">ROUND(G88*100/O88-100,0)</f>
        <v>2</v>
      </c>
      <c r="U88" s="39" t="n">
        <f aca="false">ROUND(J88*100/O88-100,0)</f>
        <v>3</v>
      </c>
      <c r="V88" s="39" t="n">
        <f aca="false">ROUND(M88*100/O88-100,0)</f>
        <v>-4</v>
      </c>
    </row>
    <row r="89" s="38" customFormat="true" ht="114" hidden="false" customHeight="true" outlineLevel="0" collapsed="false">
      <c r="A89" s="28" t="n">
        <v>79</v>
      </c>
      <c r="B89" s="57" t="s">
        <v>319</v>
      </c>
      <c r="C89" s="58" t="s">
        <v>143</v>
      </c>
      <c r="D89" s="59" t="n">
        <v>25</v>
      </c>
      <c r="E89" s="32" t="n">
        <f aca="false">O89</f>
        <v>1341.46</v>
      </c>
      <c r="F89" s="42" t="s">
        <v>320</v>
      </c>
      <c r="G89" s="34" t="n">
        <f aca="false">1562/1.2*1.05</f>
        <v>1366.75</v>
      </c>
      <c r="H89" s="34" t="n">
        <f aca="false">D89*G89</f>
        <v>34168.75</v>
      </c>
      <c r="I89" s="42" t="s">
        <v>321</v>
      </c>
      <c r="J89" s="34" t="n">
        <f aca="false">1531.3/1.2*1.05</f>
        <v>1339.89</v>
      </c>
      <c r="K89" s="34" t="n">
        <f aca="false">D89*J89</f>
        <v>33497.25</v>
      </c>
      <c r="L89" s="42" t="s">
        <v>322</v>
      </c>
      <c r="M89" s="34" t="n">
        <f aca="false">1506/1.2*1.05</f>
        <v>1317.75</v>
      </c>
      <c r="N89" s="34" t="n">
        <f aca="false">D89*M89</f>
        <v>32943.75</v>
      </c>
      <c r="O89" s="35" t="n">
        <f aca="false">AVERAGE(G89,J89,M89)</f>
        <v>1341.46</v>
      </c>
      <c r="P89" s="36" t="n">
        <f aca="false">E89*100/O89-100</f>
        <v>0</v>
      </c>
      <c r="Q89" s="35" t="n">
        <f aca="false">O89*D89</f>
        <v>33536.5</v>
      </c>
      <c r="R89" s="37"/>
      <c r="T89" s="39" t="n">
        <f aca="false">ROUND(G89*100/O89-100,0)</f>
        <v>2</v>
      </c>
      <c r="U89" s="39" t="n">
        <f aca="false">ROUND(J89*100/O89-100,0)</f>
        <v>-0</v>
      </c>
      <c r="V89" s="39" t="n">
        <f aca="false">ROUND(M89*100/O89-100,0)</f>
        <v>-2</v>
      </c>
    </row>
    <row r="90" s="38" customFormat="true" ht="114" hidden="false" customHeight="true" outlineLevel="0" collapsed="false">
      <c r="A90" s="28" t="n">
        <v>80</v>
      </c>
      <c r="B90" s="57" t="s">
        <v>323</v>
      </c>
      <c r="C90" s="58" t="s">
        <v>143</v>
      </c>
      <c r="D90" s="59" t="n">
        <v>25</v>
      </c>
      <c r="E90" s="32" t="n">
        <f aca="false">O90</f>
        <v>1678.78</v>
      </c>
      <c r="F90" s="42" t="s">
        <v>324</v>
      </c>
      <c r="G90" s="34" t="n">
        <f aca="false">2012.4/1.2*1.05</f>
        <v>1760.85</v>
      </c>
      <c r="H90" s="34" t="n">
        <f aca="false">D90*G90</f>
        <v>44021.25</v>
      </c>
      <c r="I90" s="42" t="s">
        <v>325</v>
      </c>
      <c r="J90" s="34" t="n">
        <f aca="false">2067/1.2*1.05</f>
        <v>1808.63</v>
      </c>
      <c r="K90" s="34" t="n">
        <f aca="false">D90*J90</f>
        <v>45215.75</v>
      </c>
      <c r="L90" s="42" t="s">
        <v>326</v>
      </c>
      <c r="M90" s="34" t="n">
        <f aca="false">1676.4/1.2*1.05</f>
        <v>1466.85</v>
      </c>
      <c r="N90" s="34" t="n">
        <f aca="false">D90*M90</f>
        <v>36671.25</v>
      </c>
      <c r="O90" s="35" t="n">
        <f aca="false">AVERAGE(G90,J90,M90)</f>
        <v>1678.78</v>
      </c>
      <c r="P90" s="36" t="n">
        <f aca="false">E90*100/O90-100</f>
        <v>0</v>
      </c>
      <c r="Q90" s="35" t="n">
        <f aca="false">O90*D90</f>
        <v>41969.5</v>
      </c>
      <c r="R90" s="37"/>
      <c r="T90" s="39" t="n">
        <f aca="false">ROUND(G90*100/O90-100,0)</f>
        <v>5</v>
      </c>
      <c r="U90" s="39" t="n">
        <f aca="false">ROUND(J90*100/O90-100,0)</f>
        <v>8</v>
      </c>
      <c r="V90" s="39" t="n">
        <f aca="false">ROUND(M90*100/O90-100,0)</f>
        <v>-13</v>
      </c>
    </row>
    <row r="91" s="38" customFormat="true" ht="114" hidden="false" customHeight="true" outlineLevel="0" collapsed="false">
      <c r="A91" s="28" t="n">
        <v>81</v>
      </c>
      <c r="B91" s="57" t="s">
        <v>327</v>
      </c>
      <c r="C91" s="58" t="s">
        <v>143</v>
      </c>
      <c r="D91" s="59" t="n">
        <v>25</v>
      </c>
      <c r="E91" s="32" t="n">
        <f aca="false">O91</f>
        <v>1556.98</v>
      </c>
      <c r="F91" s="42" t="s">
        <v>328</v>
      </c>
      <c r="G91" s="34" t="n">
        <f aca="false">1869.6/1.2*1.05</f>
        <v>1635.9</v>
      </c>
      <c r="H91" s="34" t="n">
        <f aca="false">D91*G91</f>
        <v>40897.5</v>
      </c>
      <c r="I91" s="42" t="s">
        <v>329</v>
      </c>
      <c r="J91" s="34" t="n">
        <f aca="false">1599/1.2*1.05</f>
        <v>1399.13</v>
      </c>
      <c r="K91" s="34" t="n">
        <f aca="false">D91*J91</f>
        <v>34978.25</v>
      </c>
      <c r="L91" s="42" t="s">
        <v>330</v>
      </c>
      <c r="M91" s="34" t="n">
        <f aca="false">1869.6/1.2*1.05</f>
        <v>1635.9</v>
      </c>
      <c r="N91" s="34" t="n">
        <f aca="false">D91*M91</f>
        <v>40897.5</v>
      </c>
      <c r="O91" s="35" t="n">
        <f aca="false">AVERAGE(G91,J91,M91)</f>
        <v>1556.98</v>
      </c>
      <c r="P91" s="36" t="n">
        <f aca="false">E91*100/O91-100</f>
        <v>0</v>
      </c>
      <c r="Q91" s="35" t="n">
        <f aca="false">O91*D91</f>
        <v>38924.5</v>
      </c>
      <c r="R91" s="37"/>
      <c r="T91" s="39" t="n">
        <f aca="false">ROUND(G91*100/O91-100,0)</f>
        <v>5</v>
      </c>
      <c r="U91" s="39" t="n">
        <f aca="false">ROUND(J91*100/O91-100,0)</f>
        <v>-10</v>
      </c>
      <c r="V91" s="39" t="n">
        <f aca="false">ROUND(M91*100/O91-100,0)</f>
        <v>5</v>
      </c>
    </row>
    <row r="92" s="38" customFormat="true" ht="114" hidden="false" customHeight="true" outlineLevel="0" collapsed="false">
      <c r="A92" s="28" t="n">
        <v>82</v>
      </c>
      <c r="B92" s="57" t="s">
        <v>331</v>
      </c>
      <c r="C92" s="58" t="s">
        <v>143</v>
      </c>
      <c r="D92" s="59" t="n">
        <v>25</v>
      </c>
      <c r="E92" s="32" t="n">
        <f aca="false">O92</f>
        <v>1578.86</v>
      </c>
      <c r="F92" s="42" t="s">
        <v>332</v>
      </c>
      <c r="G92" s="34" t="n">
        <f aca="false">1831.75/1.2*1.05</f>
        <v>1602.78</v>
      </c>
      <c r="H92" s="34" t="n">
        <f aca="false">D92*G92</f>
        <v>40069.5</v>
      </c>
      <c r="I92" s="42" t="s">
        <v>333</v>
      </c>
      <c r="J92" s="34" t="n">
        <f aca="false">1852/1.2*1.05</f>
        <v>1620.5</v>
      </c>
      <c r="K92" s="34" t="n">
        <f aca="false">D92*J92</f>
        <v>40512.5</v>
      </c>
      <c r="L92" s="42" t="s">
        <v>334</v>
      </c>
      <c r="M92" s="34" t="n">
        <f aca="false">1729.5/1.2*1.05</f>
        <v>1513.31</v>
      </c>
      <c r="N92" s="34" t="n">
        <f aca="false">D92*M92</f>
        <v>37832.75</v>
      </c>
      <c r="O92" s="35" t="n">
        <f aca="false">AVERAGE(G92,J92,M92)</f>
        <v>1578.86</v>
      </c>
      <c r="P92" s="36" t="n">
        <f aca="false">E92*100/O92-100</f>
        <v>0</v>
      </c>
      <c r="Q92" s="35" t="n">
        <f aca="false">O92*D92</f>
        <v>39471.5</v>
      </c>
      <c r="R92" s="37"/>
      <c r="T92" s="39" t="n">
        <f aca="false">ROUND(G92*100/O92-100,0)</f>
        <v>2</v>
      </c>
      <c r="U92" s="39" t="n">
        <f aca="false">ROUND(J92*100/O92-100,0)</f>
        <v>3</v>
      </c>
      <c r="V92" s="39" t="n">
        <f aca="false">ROUND(M92*100/O92-100,0)</f>
        <v>-4</v>
      </c>
    </row>
    <row r="93" s="38" customFormat="true" ht="63.75" hidden="false" customHeight="true" outlineLevel="0" collapsed="false">
      <c r="A93" s="28" t="n">
        <v>83</v>
      </c>
      <c r="B93" s="60" t="s">
        <v>335</v>
      </c>
      <c r="C93" s="58" t="s">
        <v>27</v>
      </c>
      <c r="D93" s="59" t="n">
        <v>2.2</v>
      </c>
      <c r="E93" s="32" t="n">
        <f aca="false">O93</f>
        <v>451.81</v>
      </c>
      <c r="F93" s="42" t="s">
        <v>336</v>
      </c>
      <c r="G93" s="34" t="n">
        <f aca="false">489.05/1.2*1.05</f>
        <v>427.92</v>
      </c>
      <c r="H93" s="34" t="n">
        <f aca="false">D93*G93</f>
        <v>941.42</v>
      </c>
      <c r="I93" s="40" t="s">
        <v>337</v>
      </c>
      <c r="J93" s="34" t="n">
        <f aca="false">540/1.2*1.05</f>
        <v>472.5</v>
      </c>
      <c r="K93" s="34" t="n">
        <f aca="false">D93*J93</f>
        <v>1039.5</v>
      </c>
      <c r="L93" s="42" t="s">
        <v>338</v>
      </c>
      <c r="M93" s="34" t="n">
        <f aca="false">520/1.2*1.05</f>
        <v>455</v>
      </c>
      <c r="N93" s="34" t="n">
        <f aca="false">D93*M93</f>
        <v>1001</v>
      </c>
      <c r="O93" s="35" t="n">
        <f aca="false">AVERAGE(G93,J93,M93)</f>
        <v>451.81</v>
      </c>
      <c r="P93" s="36" t="n">
        <f aca="false">E93*100/O93-100</f>
        <v>0</v>
      </c>
      <c r="Q93" s="35" t="n">
        <f aca="false">O93*D93</f>
        <v>993.98</v>
      </c>
      <c r="R93" s="37"/>
      <c r="T93" s="39" t="n">
        <f aca="false">ROUND(G93*100/O93-100,0)</f>
        <v>-5</v>
      </c>
      <c r="U93" s="39" t="n">
        <f aca="false">ROUND(J93*100/O93-100,0)</f>
        <v>5</v>
      </c>
      <c r="V93" s="39" t="n">
        <f aca="false">ROUND(M93*100/O93-100,0)</f>
        <v>1</v>
      </c>
    </row>
    <row r="94" s="38" customFormat="true" ht="51" hidden="false" customHeight="true" outlineLevel="0" collapsed="false">
      <c r="A94" s="28" t="n">
        <v>84</v>
      </c>
      <c r="B94" s="60" t="s">
        <v>339</v>
      </c>
      <c r="C94" s="58" t="s">
        <v>27</v>
      </c>
      <c r="D94" s="59" t="n">
        <v>1.8</v>
      </c>
      <c r="E94" s="32" t="n">
        <f aca="false">O94</f>
        <v>300.9</v>
      </c>
      <c r="F94" s="40" t="s">
        <v>340</v>
      </c>
      <c r="G94" s="34" t="n">
        <f aca="false">332/1.2*1.05</f>
        <v>290.5</v>
      </c>
      <c r="H94" s="34" t="n">
        <f aca="false">D94*G94</f>
        <v>522.9</v>
      </c>
      <c r="I94" s="42" t="s">
        <v>341</v>
      </c>
      <c r="J94" s="34" t="n">
        <f aca="false">368.88/1.2*1.05</f>
        <v>322.77</v>
      </c>
      <c r="K94" s="34" t="n">
        <f aca="false">D94*J94</f>
        <v>580.99</v>
      </c>
      <c r="L94" s="42" t="s">
        <v>342</v>
      </c>
      <c r="M94" s="34" t="n">
        <f aca="false">330.77/1.2*1.05</f>
        <v>289.42</v>
      </c>
      <c r="N94" s="34" t="n">
        <f aca="false">D94*M94</f>
        <v>520.96</v>
      </c>
      <c r="O94" s="35" t="n">
        <f aca="false">AVERAGE(G94,J94,M94)</f>
        <v>300.9</v>
      </c>
      <c r="P94" s="36" t="n">
        <f aca="false">E94*100/O94-100</f>
        <v>0</v>
      </c>
      <c r="Q94" s="35" t="n">
        <f aca="false">O94*D94</f>
        <v>541.62</v>
      </c>
      <c r="R94" s="37"/>
      <c r="T94" s="39" t="n">
        <f aca="false">ROUND(G94*100/O94-100,0)</f>
        <v>-3</v>
      </c>
      <c r="U94" s="39" t="n">
        <f aca="false">ROUND(J94*100/O94-100,0)</f>
        <v>7</v>
      </c>
      <c r="V94" s="39" t="n">
        <f aca="false">ROUND(M94*100/O94-100,0)</f>
        <v>-4</v>
      </c>
    </row>
    <row r="95" s="38" customFormat="true" ht="369.75" hidden="false" customHeight="true" outlineLevel="0" collapsed="false">
      <c r="A95" s="28" t="n">
        <v>85</v>
      </c>
      <c r="B95" s="60" t="s">
        <v>343</v>
      </c>
      <c r="C95" s="58" t="s">
        <v>344</v>
      </c>
      <c r="D95" s="59" t="n">
        <v>190</v>
      </c>
      <c r="E95" s="32" t="n">
        <f aca="false">O95</f>
        <v>795.5</v>
      </c>
      <c r="F95" s="42" t="s">
        <v>345</v>
      </c>
      <c r="G95" s="34" t="n">
        <f aca="false">1335/310*250/1.2*1.05</f>
        <v>942.04</v>
      </c>
      <c r="H95" s="34" t="n">
        <f aca="false">D95*G95</f>
        <v>178987.6</v>
      </c>
      <c r="I95" s="42" t="s">
        <v>346</v>
      </c>
      <c r="J95" s="34" t="n">
        <f aca="false">920/310*250/1.2*1.05</f>
        <v>649.19</v>
      </c>
      <c r="K95" s="34" t="n">
        <f aca="false">D95*J95</f>
        <v>123346.1</v>
      </c>
      <c r="L95" s="42" t="s">
        <v>347</v>
      </c>
      <c r="M95" s="34" t="n">
        <f aca="false">1127/310*250/1.2*1.05</f>
        <v>795.26</v>
      </c>
      <c r="N95" s="34" t="n">
        <f aca="false">D95*M95</f>
        <v>151099.4</v>
      </c>
      <c r="O95" s="35" t="n">
        <f aca="false">AVERAGE(G95,J95,M95)</f>
        <v>795.5</v>
      </c>
      <c r="P95" s="36" t="n">
        <f aca="false">E95*100/O95-100</f>
        <v>0</v>
      </c>
      <c r="Q95" s="35" t="n">
        <f aca="false">O95*D95</f>
        <v>151145</v>
      </c>
      <c r="R95" s="37"/>
      <c r="T95" s="39" t="n">
        <f aca="false">ROUND(G95*100/O95-100,0)</f>
        <v>18</v>
      </c>
      <c r="U95" s="39" t="n">
        <f aca="false">ROUND(J95*100/O95-100,0)</f>
        <v>-18</v>
      </c>
      <c r="V95" s="39" t="n">
        <f aca="false">ROUND(M95*100/O95-100,0)</f>
        <v>-0</v>
      </c>
    </row>
    <row r="96" s="38" customFormat="true" ht="165" hidden="false" customHeight="true" outlineLevel="0" collapsed="false">
      <c r="A96" s="28" t="n">
        <v>86</v>
      </c>
      <c r="B96" s="57" t="s">
        <v>348</v>
      </c>
      <c r="C96" s="58" t="s">
        <v>143</v>
      </c>
      <c r="D96" s="59" t="n">
        <v>20</v>
      </c>
      <c r="E96" s="32" t="n">
        <f aca="false">O96</f>
        <v>351.45</v>
      </c>
      <c r="F96" s="33" t="s">
        <v>349</v>
      </c>
      <c r="G96" s="34" t="n">
        <f aca="false">405/1.2*1.05</f>
        <v>354.38</v>
      </c>
      <c r="H96" s="34" t="n">
        <f aca="false">D96*G96</f>
        <v>7087.6</v>
      </c>
      <c r="I96" s="33" t="s">
        <v>350</v>
      </c>
      <c r="J96" s="34" t="n">
        <f aca="false">405/1.2*1.05</f>
        <v>354.38</v>
      </c>
      <c r="K96" s="34" t="n">
        <f aca="false">D96*J96</f>
        <v>7087.6</v>
      </c>
      <c r="L96" s="33" t="s">
        <v>351</v>
      </c>
      <c r="M96" s="34" t="n">
        <f aca="false">394.95/1.2*1.05</f>
        <v>345.58</v>
      </c>
      <c r="N96" s="34" t="n">
        <f aca="false">D96*M96</f>
        <v>6911.6</v>
      </c>
      <c r="O96" s="35" t="n">
        <f aca="false">AVERAGE(G96,J96,M96)</f>
        <v>351.45</v>
      </c>
      <c r="P96" s="36" t="n">
        <f aca="false">E96*100/O96-100</f>
        <v>0</v>
      </c>
      <c r="Q96" s="35" t="n">
        <f aca="false">O96*D96</f>
        <v>7029</v>
      </c>
      <c r="R96" s="37"/>
      <c r="T96" s="39" t="n">
        <f aca="false">ROUND(G96*100/O96-100,0)</f>
        <v>1</v>
      </c>
      <c r="U96" s="39" t="n">
        <f aca="false">ROUND(J96*100/O96-100,0)</f>
        <v>1</v>
      </c>
      <c r="V96" s="39" t="n">
        <f aca="false">ROUND(M96*100/O96-100,0)</f>
        <v>-2</v>
      </c>
    </row>
    <row r="97" s="38" customFormat="true" ht="150" hidden="false" customHeight="true" outlineLevel="0" collapsed="false">
      <c r="A97" s="28" t="n">
        <v>87</v>
      </c>
      <c r="B97" s="57" t="s">
        <v>352</v>
      </c>
      <c r="C97" s="58" t="s">
        <v>143</v>
      </c>
      <c r="D97" s="59" t="n">
        <v>60</v>
      </c>
      <c r="E97" s="32" t="n">
        <f aca="false">O97</f>
        <v>541.08</v>
      </c>
      <c r="F97" s="33" t="s">
        <v>353</v>
      </c>
      <c r="G97" s="34" t="n">
        <f aca="false">623.4/1.2*1.05</f>
        <v>545.48</v>
      </c>
      <c r="H97" s="34" t="n">
        <f aca="false">D97*G97</f>
        <v>32728.8</v>
      </c>
      <c r="I97" s="33" t="s">
        <v>354</v>
      </c>
      <c r="J97" s="34" t="n">
        <f aca="false">608.31/1.2*1.05</f>
        <v>532.27</v>
      </c>
      <c r="K97" s="34" t="n">
        <f aca="false">D97*J97</f>
        <v>31936.2</v>
      </c>
      <c r="L97" s="33" t="s">
        <v>355</v>
      </c>
      <c r="M97" s="34" t="n">
        <f aca="false">623.4/1.2*1.05</f>
        <v>545.48</v>
      </c>
      <c r="N97" s="34" t="n">
        <f aca="false">D97*M97</f>
        <v>32728.8</v>
      </c>
      <c r="O97" s="35" t="n">
        <f aca="false">AVERAGE(G97,J97,M97)</f>
        <v>541.08</v>
      </c>
      <c r="P97" s="36" t="n">
        <f aca="false">E97*100/O97-100</f>
        <v>0</v>
      </c>
      <c r="Q97" s="35" t="n">
        <f aca="false">O97*D97</f>
        <v>32464.8</v>
      </c>
      <c r="R97" s="37"/>
      <c r="T97" s="39" t="n">
        <f aca="false">ROUND(G97*100/O97-100,0)</f>
        <v>1</v>
      </c>
      <c r="U97" s="39" t="n">
        <f aca="false">ROUND(J97*100/O97-100,0)</f>
        <v>-2</v>
      </c>
      <c r="V97" s="39" t="n">
        <f aca="false">ROUND(M97*100/O97-100,0)</f>
        <v>1</v>
      </c>
    </row>
    <row r="98" s="38" customFormat="true" ht="150" hidden="false" customHeight="true" outlineLevel="0" collapsed="false">
      <c r="A98" s="28" t="n">
        <v>88</v>
      </c>
      <c r="B98" s="57" t="s">
        <v>356</v>
      </c>
      <c r="C98" s="58" t="s">
        <v>143</v>
      </c>
      <c r="D98" s="59" t="n">
        <v>50</v>
      </c>
      <c r="E98" s="32" t="n">
        <f aca="false">O98</f>
        <v>603.02</v>
      </c>
      <c r="F98" s="33" t="s">
        <v>357</v>
      </c>
      <c r="G98" s="34" t="n">
        <f aca="false">694.8/1.2*1.05</f>
        <v>607.95</v>
      </c>
      <c r="H98" s="34" t="n">
        <f aca="false">D98*G98</f>
        <v>30397.5</v>
      </c>
      <c r="I98" s="33" t="s">
        <v>358</v>
      </c>
      <c r="J98" s="34" t="n">
        <f aca="false">694.8/1.2*1.05</f>
        <v>607.95</v>
      </c>
      <c r="K98" s="34" t="n">
        <f aca="false">D98*J98</f>
        <v>30397.5</v>
      </c>
      <c r="L98" s="33" t="s">
        <v>359</v>
      </c>
      <c r="M98" s="34" t="n">
        <f aca="false">677.91/1.2*1.05</f>
        <v>593.17</v>
      </c>
      <c r="N98" s="34" t="n">
        <f aca="false">D98*M98</f>
        <v>29658.5</v>
      </c>
      <c r="O98" s="35" t="n">
        <f aca="false">AVERAGE(G98,J98,M98)</f>
        <v>603.02</v>
      </c>
      <c r="P98" s="36" t="n">
        <f aca="false">E98*100/O98-100</f>
        <v>0</v>
      </c>
      <c r="Q98" s="35" t="n">
        <f aca="false">O98*D98</f>
        <v>30151</v>
      </c>
      <c r="R98" s="37"/>
      <c r="T98" s="39" t="n">
        <f aca="false">ROUND(G98*100/O98-100,0)</f>
        <v>1</v>
      </c>
      <c r="U98" s="39" t="n">
        <f aca="false">ROUND(J98*100/O98-100,0)</f>
        <v>1</v>
      </c>
      <c r="V98" s="39" t="n">
        <f aca="false">ROUND(M98*100/O98-100,0)</f>
        <v>-2</v>
      </c>
    </row>
    <row r="99" s="38" customFormat="true" ht="63.75" hidden="false" customHeight="true" outlineLevel="0" collapsed="false">
      <c r="A99" s="28" t="n">
        <v>89</v>
      </c>
      <c r="B99" s="57" t="s">
        <v>360</v>
      </c>
      <c r="C99" s="58" t="s">
        <v>143</v>
      </c>
      <c r="D99" s="59" t="n">
        <v>490</v>
      </c>
      <c r="E99" s="32" t="n">
        <f aca="false">O99</f>
        <v>71.43</v>
      </c>
      <c r="F99" s="42" t="s">
        <v>361</v>
      </c>
      <c r="G99" s="34" t="n">
        <f aca="false">150/2/1.2*1.05</f>
        <v>65.63</v>
      </c>
      <c r="H99" s="34" t="n">
        <f aca="false">D99*G99</f>
        <v>32158.7</v>
      </c>
      <c r="I99" s="42" t="s">
        <v>362</v>
      </c>
      <c r="J99" s="34" t="n">
        <f aca="false">176.34/2/1.2*1.05</f>
        <v>77.15</v>
      </c>
      <c r="K99" s="34" t="n">
        <f aca="false">D99*J99</f>
        <v>37803.5</v>
      </c>
      <c r="L99" s="42" t="s">
        <v>363</v>
      </c>
      <c r="M99" s="34" t="n">
        <f aca="false">163.43/2/1.2*1.05</f>
        <v>71.5</v>
      </c>
      <c r="N99" s="34" t="n">
        <f aca="false">D99*M99</f>
        <v>35035</v>
      </c>
      <c r="O99" s="35" t="n">
        <f aca="false">AVERAGE(G99,J99,M99)</f>
        <v>71.43</v>
      </c>
      <c r="P99" s="36" t="n">
        <f aca="false">E99*100/O99-100</f>
        <v>0</v>
      </c>
      <c r="Q99" s="35" t="n">
        <f aca="false">O99*D99</f>
        <v>35000.7</v>
      </c>
      <c r="R99" s="37"/>
      <c r="T99" s="39" t="n">
        <f aca="false">ROUND(G99*100/O99-100,0)</f>
        <v>-8</v>
      </c>
      <c r="U99" s="39" t="n">
        <f aca="false">ROUND(J99*100/O99-100,0)</f>
        <v>8</v>
      </c>
      <c r="V99" s="39" t="n">
        <f aca="false">ROUND(M99*100/O99-100,0)</f>
        <v>0</v>
      </c>
    </row>
    <row r="100" s="38" customFormat="true" ht="51" hidden="false" customHeight="true" outlineLevel="0" collapsed="false">
      <c r="A100" s="28" t="n">
        <v>90</v>
      </c>
      <c r="B100" s="57" t="s">
        <v>364</v>
      </c>
      <c r="C100" s="58" t="s">
        <v>365</v>
      </c>
      <c r="D100" s="59" t="n">
        <v>750</v>
      </c>
      <c r="E100" s="32" t="n">
        <f aca="false">O100</f>
        <v>86.92</v>
      </c>
      <c r="F100" s="61" t="s">
        <v>366</v>
      </c>
      <c r="G100" s="34" t="n">
        <f aca="false">222/2/1.2*1.05</f>
        <v>97.13</v>
      </c>
      <c r="H100" s="34" t="n">
        <f aca="false">D100*G99</f>
        <v>49222.5</v>
      </c>
      <c r="I100" s="42" t="s">
        <v>367</v>
      </c>
      <c r="J100" s="34" t="n">
        <f aca="false">220/2/1.2*1.05</f>
        <v>96.25</v>
      </c>
      <c r="K100" s="34" t="n">
        <f aca="false">D100*J100</f>
        <v>72187.5</v>
      </c>
      <c r="L100" s="46" t="s">
        <v>368</v>
      </c>
      <c r="M100" s="34" t="n">
        <f aca="false">226/2/1.2*1.05</f>
        <v>98.88</v>
      </c>
      <c r="N100" s="34" t="n">
        <f aca="false">D100*M100</f>
        <v>74160</v>
      </c>
      <c r="O100" s="35" t="n">
        <f aca="false">AVERAGE(G99,J100,M100)</f>
        <v>86.92</v>
      </c>
      <c r="P100" s="36" t="n">
        <f aca="false">E100*100/O100-100</f>
        <v>0</v>
      </c>
      <c r="Q100" s="35" t="n">
        <f aca="false">O100*D100</f>
        <v>65190</v>
      </c>
      <c r="R100" s="37" t="s">
        <v>369</v>
      </c>
      <c r="T100" s="39" t="n">
        <f aca="false">ROUND(G100*100/O100-100,0)</f>
        <v>12</v>
      </c>
      <c r="U100" s="39" t="n">
        <f aca="false">ROUND(J100*100/O100-100,0)</f>
        <v>11</v>
      </c>
      <c r="V100" s="39" t="n">
        <f aca="false">ROUND(M100*100/O100-100,0)</f>
        <v>14</v>
      </c>
    </row>
    <row r="101" s="38" customFormat="true" ht="76.5" hidden="false" customHeight="true" outlineLevel="0" collapsed="false">
      <c r="A101" s="28" t="n">
        <v>91</v>
      </c>
      <c r="B101" s="57" t="s">
        <v>370</v>
      </c>
      <c r="C101" s="58" t="s">
        <v>143</v>
      </c>
      <c r="D101" s="59" t="n">
        <v>1000</v>
      </c>
      <c r="E101" s="32" t="n">
        <f aca="false">O101</f>
        <v>2.18</v>
      </c>
      <c r="F101" s="42" t="s">
        <v>371</v>
      </c>
      <c r="G101" s="34" t="n">
        <f aca="false">280/100/1.2*1.05</f>
        <v>2.45</v>
      </c>
      <c r="H101" s="34" t="n">
        <f aca="false">D101*G101</f>
        <v>2450</v>
      </c>
      <c r="I101" s="42" t="s">
        <v>372</v>
      </c>
      <c r="J101" s="34" t="n">
        <f aca="false">250/100/1.2*1.05</f>
        <v>2.19</v>
      </c>
      <c r="K101" s="34" t="n">
        <f aca="false">D101*J101</f>
        <v>2190</v>
      </c>
      <c r="L101" s="42" t="s">
        <v>373</v>
      </c>
      <c r="M101" s="34" t="n">
        <f aca="false">217/100/1.2*1.05</f>
        <v>1.9</v>
      </c>
      <c r="N101" s="34" t="n">
        <f aca="false">D101*M101</f>
        <v>1900</v>
      </c>
      <c r="O101" s="35" t="n">
        <f aca="false">AVERAGE(G101,J101,M101)</f>
        <v>2.18</v>
      </c>
      <c r="P101" s="36" t="n">
        <f aca="false">E101*100/O101-100</f>
        <v>0</v>
      </c>
      <c r="Q101" s="35" t="n">
        <f aca="false">O101*D101</f>
        <v>2180</v>
      </c>
      <c r="R101" s="37"/>
      <c r="T101" s="39" t="n">
        <f aca="false">ROUND(G101*100/O101-100,0)</f>
        <v>12</v>
      </c>
      <c r="U101" s="39" t="n">
        <f aca="false">ROUND(J101*100/O101-100,0)</f>
        <v>0</v>
      </c>
      <c r="V101" s="39" t="n">
        <f aca="false">ROUND(M101*100/O101-100,0)</f>
        <v>-13</v>
      </c>
    </row>
    <row r="102" s="38" customFormat="true" ht="76.5" hidden="false" customHeight="true" outlineLevel="0" collapsed="false">
      <c r="A102" s="28" t="n">
        <v>92</v>
      </c>
      <c r="B102" s="57" t="s">
        <v>374</v>
      </c>
      <c r="C102" s="58" t="s">
        <v>143</v>
      </c>
      <c r="D102" s="59" t="n">
        <v>1000</v>
      </c>
      <c r="E102" s="32" t="n">
        <f aca="false">O102</f>
        <v>3.2</v>
      </c>
      <c r="F102" s="42" t="s">
        <v>375</v>
      </c>
      <c r="G102" s="34" t="n">
        <f aca="false">349/100/1.2*1.05</f>
        <v>3.05</v>
      </c>
      <c r="H102" s="34" t="n">
        <f aca="false">D102*G102</f>
        <v>3050</v>
      </c>
      <c r="I102" s="42" t="s">
        <v>376</v>
      </c>
      <c r="J102" s="34" t="n">
        <f aca="false">360/100/1.2*1.05</f>
        <v>3.15</v>
      </c>
      <c r="K102" s="34" t="n">
        <f aca="false">D102*J102</f>
        <v>3150</v>
      </c>
      <c r="L102" s="42" t="s">
        <v>377</v>
      </c>
      <c r="M102" s="34" t="n">
        <f aca="false">387/100/1.2*1.05</f>
        <v>3.39</v>
      </c>
      <c r="N102" s="34" t="n">
        <f aca="false">D102*M102</f>
        <v>3390</v>
      </c>
      <c r="O102" s="35" t="n">
        <f aca="false">AVERAGE(G102,J102,M102)</f>
        <v>3.2</v>
      </c>
      <c r="P102" s="36" t="n">
        <f aca="false">E102*100/O102-100</f>
        <v>0</v>
      </c>
      <c r="Q102" s="35" t="n">
        <f aca="false">O102*D102</f>
        <v>3200</v>
      </c>
      <c r="R102" s="37"/>
      <c r="T102" s="39" t="n">
        <f aca="false">ROUND(G102*100/O102-100,0)</f>
        <v>-5</v>
      </c>
      <c r="U102" s="39" t="n">
        <f aca="false">ROUND(J102*100/O102-100,0)</f>
        <v>-2</v>
      </c>
      <c r="V102" s="39" t="n">
        <f aca="false">ROUND(M102*100/O102-100,0)</f>
        <v>6</v>
      </c>
    </row>
    <row r="103" s="38" customFormat="true" ht="409.5" hidden="false" customHeight="true" outlineLevel="0" collapsed="false">
      <c r="A103" s="28" t="n">
        <v>93</v>
      </c>
      <c r="B103" s="57" t="s">
        <v>378</v>
      </c>
      <c r="C103" s="58" t="s">
        <v>143</v>
      </c>
      <c r="D103" s="59" t="n">
        <v>1000</v>
      </c>
      <c r="E103" s="32" t="n">
        <f aca="false">O103</f>
        <v>3.93</v>
      </c>
      <c r="F103" s="42" t="s">
        <v>379</v>
      </c>
      <c r="G103" s="34" t="n">
        <f aca="false">423/100/1.2*1.05</f>
        <v>3.7</v>
      </c>
      <c r="H103" s="34" t="n">
        <f aca="false">D103*G103</f>
        <v>3700</v>
      </c>
      <c r="I103" s="42" t="s">
        <v>380</v>
      </c>
      <c r="J103" s="34" t="n">
        <f aca="false">485/100/1.2*1.05</f>
        <v>4.24</v>
      </c>
      <c r="K103" s="34" t="n">
        <f aca="false">D103*J103</f>
        <v>4240</v>
      </c>
      <c r="L103" s="42" t="s">
        <v>381</v>
      </c>
      <c r="M103" s="34" t="n">
        <f aca="false">439/100/1.2*1.05</f>
        <v>3.84</v>
      </c>
      <c r="N103" s="34" t="n">
        <f aca="false">D103*M103</f>
        <v>3840</v>
      </c>
      <c r="O103" s="35" t="n">
        <f aca="false">AVERAGE(G103,J103,M103)</f>
        <v>3.93</v>
      </c>
      <c r="P103" s="36" t="n">
        <f aca="false">E103*100/O103-100</f>
        <v>0</v>
      </c>
      <c r="Q103" s="35" t="n">
        <f aca="false">O103*D103</f>
        <v>3930</v>
      </c>
      <c r="R103" s="37"/>
      <c r="T103" s="39" t="n">
        <f aca="false">ROUND(G103*100/O103-100,0)</f>
        <v>-6</v>
      </c>
      <c r="U103" s="39" t="n">
        <f aca="false">ROUND(J103*100/O103-100,0)</f>
        <v>8</v>
      </c>
      <c r="V103" s="39" t="n">
        <f aca="false">ROUND(M103*100/O103-100,0)</f>
        <v>-2</v>
      </c>
    </row>
    <row r="104" s="38" customFormat="true" ht="63.75" hidden="false" customHeight="true" outlineLevel="0" collapsed="false">
      <c r="A104" s="28" t="n">
        <v>94</v>
      </c>
      <c r="B104" s="60" t="s">
        <v>382</v>
      </c>
      <c r="C104" s="58" t="s">
        <v>344</v>
      </c>
      <c r="D104" s="59" t="n">
        <v>159</v>
      </c>
      <c r="E104" s="32" t="n">
        <f aca="false">O104</f>
        <v>285.54</v>
      </c>
      <c r="F104" s="42" t="s">
        <v>383</v>
      </c>
      <c r="G104" s="34" t="n">
        <f aca="false">360/1.2*1.05</f>
        <v>315</v>
      </c>
      <c r="H104" s="34" t="n">
        <f aca="false">D104*G104</f>
        <v>50085</v>
      </c>
      <c r="I104" s="42" t="s">
        <v>384</v>
      </c>
      <c r="J104" s="34" t="n">
        <f aca="false">290/1.2*1.05</f>
        <v>253.75</v>
      </c>
      <c r="K104" s="34" t="n">
        <f aca="false">D104*J104</f>
        <v>40346.25</v>
      </c>
      <c r="L104" s="42" t="s">
        <v>381</v>
      </c>
      <c r="M104" s="34" t="n">
        <f aca="false">329/1.2*1.05</f>
        <v>287.88</v>
      </c>
      <c r="N104" s="34" t="n">
        <f aca="false">D104*M104</f>
        <v>45772.92</v>
      </c>
      <c r="O104" s="35" t="n">
        <f aca="false">AVERAGE(G104,J104,M104)</f>
        <v>285.54</v>
      </c>
      <c r="P104" s="36" t="n">
        <f aca="false">E104*100/O104-100</f>
        <v>0</v>
      </c>
      <c r="Q104" s="35" t="n">
        <f aca="false">O104*D104</f>
        <v>45400.86</v>
      </c>
      <c r="R104" s="37"/>
      <c r="T104" s="39" t="n">
        <f aca="false">ROUND(G104*100/O104-100,0)</f>
        <v>10</v>
      </c>
      <c r="U104" s="39" t="n">
        <f aca="false">ROUND(J104*100/O104-100,0)</f>
        <v>-11</v>
      </c>
      <c r="V104" s="39" t="n">
        <f aca="false">ROUND(M104*100/O104-100,0)</f>
        <v>1</v>
      </c>
    </row>
    <row r="105" s="38" customFormat="true" ht="63.75" hidden="false" customHeight="true" outlineLevel="0" collapsed="false">
      <c r="A105" s="28" t="n">
        <v>95</v>
      </c>
      <c r="B105" s="60" t="s">
        <v>385</v>
      </c>
      <c r="C105" s="58" t="s">
        <v>27</v>
      </c>
      <c r="D105" s="59" t="n">
        <v>510</v>
      </c>
      <c r="E105" s="32" t="n">
        <f aca="false">O105</f>
        <v>582.17</v>
      </c>
      <c r="F105" s="42" t="s">
        <v>386</v>
      </c>
      <c r="G105" s="34" t="n">
        <f aca="false">12980/20/1.2*1.05</f>
        <v>567.88</v>
      </c>
      <c r="H105" s="34" t="n">
        <f aca="false">D105*G105</f>
        <v>289618.8</v>
      </c>
      <c r="I105" s="42" t="s">
        <v>387</v>
      </c>
      <c r="J105" s="34" t="n">
        <f aca="false">6300/10/1.2*1.05</f>
        <v>551.25</v>
      </c>
      <c r="K105" s="34" t="n">
        <f aca="false">D105*J105</f>
        <v>281137.5</v>
      </c>
      <c r="L105" s="42" t="s">
        <v>388</v>
      </c>
      <c r="M105" s="34" t="n">
        <f aca="false">7170/10/1.2*1.05</f>
        <v>627.38</v>
      </c>
      <c r="N105" s="34" t="n">
        <f aca="false">D105*M105</f>
        <v>319963.8</v>
      </c>
      <c r="O105" s="35" t="n">
        <f aca="false">AVERAGE(G105,J105,M105)</f>
        <v>582.17</v>
      </c>
      <c r="P105" s="36" t="n">
        <f aca="false">E105*100/O105-100</f>
        <v>0</v>
      </c>
      <c r="Q105" s="35" t="n">
        <f aca="false">O105*D105</f>
        <v>296906.7</v>
      </c>
      <c r="R105" s="37"/>
      <c r="T105" s="39" t="n">
        <f aca="false">ROUND(G105*100/O105-100,0)</f>
        <v>-2</v>
      </c>
      <c r="U105" s="39" t="n">
        <f aca="false">ROUND(J105*100/O105-100,0)</f>
        <v>-5</v>
      </c>
      <c r="V105" s="39" t="n">
        <f aca="false">ROUND(M105*100/O105-100,0)</f>
        <v>8</v>
      </c>
    </row>
    <row r="106" s="38" customFormat="true" ht="89.25" hidden="false" customHeight="true" outlineLevel="0" collapsed="false">
      <c r="A106" s="28" t="n">
        <v>96</v>
      </c>
      <c r="B106" s="60" t="s">
        <v>389</v>
      </c>
      <c r="C106" s="58" t="s">
        <v>27</v>
      </c>
      <c r="D106" s="59" t="n">
        <v>120</v>
      </c>
      <c r="E106" s="32" t="n">
        <f aca="false">O106</f>
        <v>673.96</v>
      </c>
      <c r="F106" s="42" t="s">
        <v>390</v>
      </c>
      <c r="G106" s="34" t="n">
        <f aca="false">15200/17/1.2*1.05</f>
        <v>782.35</v>
      </c>
      <c r="H106" s="34" t="n">
        <f aca="false">D106*G106</f>
        <v>93882</v>
      </c>
      <c r="I106" s="42" t="s">
        <v>391</v>
      </c>
      <c r="J106" s="34" t="n">
        <f aca="false">6190/8/1.2*1.05</f>
        <v>677.03</v>
      </c>
      <c r="K106" s="34" t="n">
        <f aca="false">D106*J106</f>
        <v>81243.6</v>
      </c>
      <c r="L106" s="42" t="s">
        <v>392</v>
      </c>
      <c r="M106" s="34" t="n">
        <f aca="false">12857/20/1.2*1.05</f>
        <v>562.49</v>
      </c>
      <c r="N106" s="34" t="n">
        <f aca="false">D106*M106</f>
        <v>67498.8</v>
      </c>
      <c r="O106" s="35" t="n">
        <f aca="false">AVERAGE(G106,J106,M106)</f>
        <v>673.96</v>
      </c>
      <c r="P106" s="36" t="n">
        <f aca="false">E106*100/O106-100</f>
        <v>0</v>
      </c>
      <c r="Q106" s="35" t="n">
        <f aca="false">O106*D106</f>
        <v>80875.2</v>
      </c>
      <c r="R106" s="37"/>
      <c r="T106" s="39" t="n">
        <f aca="false">ROUND(G106*100/O106-100,0)</f>
        <v>16</v>
      </c>
      <c r="U106" s="39" t="n">
        <f aca="false">ROUND(J106*100/O106-100,0)</f>
        <v>0</v>
      </c>
      <c r="V106" s="39" t="n">
        <f aca="false">ROUND(M106*100/O106-100,0)</f>
        <v>-17</v>
      </c>
    </row>
    <row r="107" s="38" customFormat="true" ht="344.25" hidden="false" customHeight="true" outlineLevel="0" collapsed="false">
      <c r="A107" s="28" t="n">
        <v>97</v>
      </c>
      <c r="B107" s="60" t="s">
        <v>393</v>
      </c>
      <c r="C107" s="58" t="s">
        <v>27</v>
      </c>
      <c r="D107" s="59" t="n">
        <v>120</v>
      </c>
      <c r="E107" s="32" t="n">
        <f aca="false">O107</f>
        <v>1001.55</v>
      </c>
      <c r="F107" s="42" t="s">
        <v>394</v>
      </c>
      <c r="G107" s="34" t="n">
        <f aca="false">21420/17/1.2*1.05</f>
        <v>1102.5</v>
      </c>
      <c r="H107" s="34" t="n">
        <f aca="false">D107*G107</f>
        <v>132300</v>
      </c>
      <c r="I107" s="42" t="s">
        <v>395</v>
      </c>
      <c r="J107" s="34" t="n">
        <f aca="false">1135/1.2*1.05</f>
        <v>993.13</v>
      </c>
      <c r="K107" s="34" t="n">
        <f aca="false">D107*J107</f>
        <v>119175.6</v>
      </c>
      <c r="L107" s="42" t="s">
        <v>396</v>
      </c>
      <c r="M107" s="34" t="n">
        <f aca="false">935/900*1000/1.2*1.05</f>
        <v>909.03</v>
      </c>
      <c r="N107" s="34" t="n">
        <f aca="false">D107*M107</f>
        <v>109083.6</v>
      </c>
      <c r="O107" s="35" t="n">
        <f aca="false">AVERAGE(G107,J107,M107)</f>
        <v>1001.55</v>
      </c>
      <c r="P107" s="36" t="n">
        <f aca="false">E107*100/O107-100</f>
        <v>0</v>
      </c>
      <c r="Q107" s="35" t="n">
        <f aca="false">O107*D107</f>
        <v>120186</v>
      </c>
      <c r="R107" s="37"/>
      <c r="T107" s="39" t="n">
        <f aca="false">ROUND(G107*100/O107-100,0)</f>
        <v>10</v>
      </c>
      <c r="U107" s="39" t="n">
        <f aca="false">ROUND(J107*100/O107-100,0)</f>
        <v>-1</v>
      </c>
      <c r="V107" s="39" t="n">
        <f aca="false">ROUND(M107*100/O107-100,0)</f>
        <v>-9</v>
      </c>
    </row>
    <row r="108" s="38" customFormat="true" ht="51" hidden="false" customHeight="true" outlineLevel="0" collapsed="false">
      <c r="A108" s="28" t="n">
        <v>98</v>
      </c>
      <c r="B108" s="60" t="s">
        <v>397</v>
      </c>
      <c r="C108" s="58" t="s">
        <v>27</v>
      </c>
      <c r="D108" s="59" t="n">
        <v>90</v>
      </c>
      <c r="E108" s="32" t="n">
        <f aca="false">O108</f>
        <v>716.2</v>
      </c>
      <c r="F108" s="42" t="s">
        <v>398</v>
      </c>
      <c r="G108" s="34" t="n">
        <f aca="false">17400/20/1.2*1.05</f>
        <v>761.25</v>
      </c>
      <c r="H108" s="34" t="n">
        <f aca="false">D108*G108</f>
        <v>68512.5</v>
      </c>
      <c r="I108" s="42" t="s">
        <v>399</v>
      </c>
      <c r="J108" s="34" t="n">
        <f aca="false">797/900*1000/1.2*1.05</f>
        <v>774.86</v>
      </c>
      <c r="K108" s="34" t="n">
        <f aca="false">D108*J108</f>
        <v>69737.4</v>
      </c>
      <c r="L108" s="42" t="s">
        <v>400</v>
      </c>
      <c r="M108" s="34" t="n">
        <f aca="false">700/1.2*1.05</f>
        <v>612.5</v>
      </c>
      <c r="N108" s="34" t="n">
        <f aca="false">D108*M108</f>
        <v>55125</v>
      </c>
      <c r="O108" s="35" t="n">
        <f aca="false">AVERAGE(G108,J108,M108)</f>
        <v>716.2</v>
      </c>
      <c r="P108" s="36" t="n">
        <f aca="false">E108*100/O108-100</f>
        <v>0</v>
      </c>
      <c r="Q108" s="35" t="n">
        <f aca="false">O108*D108</f>
        <v>64458</v>
      </c>
      <c r="R108" s="37"/>
      <c r="T108" s="39" t="n">
        <f aca="false">ROUND(G108*100/O108-100,0)</f>
        <v>6</v>
      </c>
      <c r="U108" s="39" t="n">
        <f aca="false">ROUND(J108*100/O108-100,0)</f>
        <v>8</v>
      </c>
      <c r="V108" s="39" t="n">
        <f aca="false">ROUND(M108*100/O108-100,0)</f>
        <v>-14</v>
      </c>
    </row>
    <row r="109" s="38" customFormat="true" ht="76.5" hidden="false" customHeight="true" outlineLevel="0" collapsed="false">
      <c r="A109" s="28" t="n">
        <v>99</v>
      </c>
      <c r="B109" s="60" t="s">
        <v>401</v>
      </c>
      <c r="C109" s="58" t="s">
        <v>27</v>
      </c>
      <c r="D109" s="59" t="n">
        <v>25</v>
      </c>
      <c r="E109" s="32" t="n">
        <f aca="false">O109</f>
        <v>1197.27</v>
      </c>
      <c r="F109" s="42" t="s">
        <v>402</v>
      </c>
      <c r="G109" s="34" t="n">
        <f aca="false">1521.93/1.2*1.05</f>
        <v>1331.69</v>
      </c>
      <c r="H109" s="34" t="n">
        <f aca="false">D109*G109</f>
        <v>33292.25</v>
      </c>
      <c r="I109" s="42" t="s">
        <v>403</v>
      </c>
      <c r="J109" s="34" t="n">
        <f aca="false">1386/1.2*1.05</f>
        <v>1212.75</v>
      </c>
      <c r="K109" s="34" t="n">
        <f aca="false">D109*J109</f>
        <v>30318.75</v>
      </c>
      <c r="L109" s="42" t="s">
        <v>404</v>
      </c>
      <c r="M109" s="34" t="n">
        <f aca="false">1197/1.2*1.05</f>
        <v>1047.38</v>
      </c>
      <c r="N109" s="34" t="n">
        <f aca="false">D109*M109</f>
        <v>26184.5</v>
      </c>
      <c r="O109" s="35" t="n">
        <f aca="false">AVERAGE(G109,J109,M109)</f>
        <v>1197.27</v>
      </c>
      <c r="P109" s="36" t="n">
        <f aca="false">E109*100/O109-100</f>
        <v>0</v>
      </c>
      <c r="Q109" s="35" t="n">
        <f aca="false">O109*D109</f>
        <v>29931.75</v>
      </c>
      <c r="R109" s="37"/>
      <c r="T109" s="39" t="n">
        <f aca="false">ROUND(G109*100/O109-100,0)</f>
        <v>11</v>
      </c>
      <c r="U109" s="39" t="n">
        <f aca="false">ROUND(J109*100/O109-100,0)</f>
        <v>1</v>
      </c>
      <c r="V109" s="39" t="n">
        <f aca="false">ROUND(M109*100/O109-100,0)</f>
        <v>-13</v>
      </c>
    </row>
    <row r="110" s="38" customFormat="true" ht="51" hidden="false" customHeight="true" outlineLevel="0" collapsed="false">
      <c r="A110" s="28" t="n">
        <v>100</v>
      </c>
      <c r="B110" s="60" t="s">
        <v>405</v>
      </c>
      <c r="C110" s="58" t="s">
        <v>27</v>
      </c>
      <c r="D110" s="59" t="n">
        <v>676</v>
      </c>
      <c r="E110" s="32" t="n">
        <f aca="false">O110</f>
        <v>818.53</v>
      </c>
      <c r="F110" s="42" t="s">
        <v>406</v>
      </c>
      <c r="G110" s="34" t="n">
        <f aca="false">865/900*1000/1.2*1.05</f>
        <v>840.97</v>
      </c>
      <c r="H110" s="34" t="n">
        <f aca="false">D110*G110</f>
        <v>568495.72</v>
      </c>
      <c r="I110" s="46" t="s">
        <v>407</v>
      </c>
      <c r="J110" s="34" t="n">
        <f aca="false">16580/17/1.2*1.05</f>
        <v>853.38</v>
      </c>
      <c r="K110" s="34" t="n">
        <f aca="false">D110*J110</f>
        <v>576884.88</v>
      </c>
      <c r="L110" s="42" t="s">
        <v>398</v>
      </c>
      <c r="M110" s="34" t="n">
        <f aca="false">17400/20/1.2*1.05</f>
        <v>761.25</v>
      </c>
      <c r="N110" s="34" t="n">
        <f aca="false">D110*M110</f>
        <v>514605</v>
      </c>
      <c r="O110" s="35" t="n">
        <f aca="false">AVERAGE(G110,J110,M110)</f>
        <v>818.53</v>
      </c>
      <c r="P110" s="36" t="n">
        <f aca="false">E110*100/O110-100</f>
        <v>0</v>
      </c>
      <c r="Q110" s="35" t="n">
        <f aca="false">O110*D110</f>
        <v>553326.28</v>
      </c>
      <c r="R110" s="37"/>
      <c r="T110" s="39" t="n">
        <f aca="false">ROUND(G110*100/O110-100,0)</f>
        <v>3</v>
      </c>
      <c r="U110" s="39" t="n">
        <f aca="false">ROUND(J110*100/O110-100,0)</f>
        <v>4</v>
      </c>
      <c r="V110" s="39" t="n">
        <f aca="false">ROUND(M110*100/O110-100,0)</f>
        <v>-7</v>
      </c>
    </row>
    <row r="111" s="38" customFormat="true" ht="105" hidden="false" customHeight="true" outlineLevel="0" collapsed="false">
      <c r="A111" s="28" t="n">
        <v>101</v>
      </c>
      <c r="B111" s="57" t="s">
        <v>408</v>
      </c>
      <c r="C111" s="58" t="s">
        <v>143</v>
      </c>
      <c r="D111" s="59" t="n">
        <v>150</v>
      </c>
      <c r="E111" s="32" t="n">
        <f aca="false">O111</f>
        <v>49.29</v>
      </c>
      <c r="F111" s="33" t="s">
        <v>409</v>
      </c>
      <c r="G111" s="34" t="n">
        <f aca="false">54/1.2*1.05</f>
        <v>47.25</v>
      </c>
      <c r="H111" s="34" t="n">
        <f aca="false">D111*G111</f>
        <v>7087.5</v>
      </c>
      <c r="I111" s="33" t="s">
        <v>410</v>
      </c>
      <c r="J111" s="34" t="n">
        <f aca="false">59/1.2*1.05</f>
        <v>51.63</v>
      </c>
      <c r="K111" s="34" t="n">
        <f aca="false">D111*J111</f>
        <v>7744.5</v>
      </c>
      <c r="L111" s="33" t="s">
        <v>411</v>
      </c>
      <c r="M111" s="34" t="n">
        <f aca="false">56/1.2*1.05</f>
        <v>49</v>
      </c>
      <c r="N111" s="34" t="n">
        <f aca="false">D111*M111</f>
        <v>7350</v>
      </c>
      <c r="O111" s="35" t="n">
        <f aca="false">AVERAGE(G111,J111,M111)</f>
        <v>49.29</v>
      </c>
      <c r="P111" s="36" t="n">
        <f aca="false">E111*100/O111-100</f>
        <v>0</v>
      </c>
      <c r="Q111" s="35" t="n">
        <f aca="false">O111*D111</f>
        <v>7393.5</v>
      </c>
      <c r="R111" s="37"/>
      <c r="T111" s="39" t="n">
        <f aca="false">ROUND(G111*100/O111-100,0)</f>
        <v>-4</v>
      </c>
      <c r="U111" s="39" t="n">
        <f aca="false">ROUND(J111*100/O111-100,0)</f>
        <v>5</v>
      </c>
      <c r="V111" s="39" t="n">
        <f aca="false">ROUND(M111*100/O111-100,0)</f>
        <v>-1</v>
      </c>
    </row>
    <row r="112" s="38" customFormat="true" ht="120" hidden="false" customHeight="true" outlineLevel="0" collapsed="false">
      <c r="A112" s="28" t="n">
        <v>102</v>
      </c>
      <c r="B112" s="57" t="s">
        <v>412</v>
      </c>
      <c r="C112" s="58" t="s">
        <v>143</v>
      </c>
      <c r="D112" s="59" t="n">
        <v>150</v>
      </c>
      <c r="E112" s="32" t="n">
        <f aca="false">O112</f>
        <v>67.67</v>
      </c>
      <c r="F112" s="33" t="s">
        <v>413</v>
      </c>
      <c r="G112" s="34" t="n">
        <f aca="false">72/1.2*1.05</f>
        <v>63</v>
      </c>
      <c r="H112" s="34" t="n">
        <f aca="false">D112*G112</f>
        <v>9450</v>
      </c>
      <c r="I112" s="33" t="s">
        <v>414</v>
      </c>
      <c r="J112" s="34" t="n">
        <f aca="false">79/1.2*1.05</f>
        <v>69.13</v>
      </c>
      <c r="K112" s="34" t="n">
        <f aca="false">D112*J112</f>
        <v>10369.5</v>
      </c>
      <c r="L112" s="33" t="s">
        <v>415</v>
      </c>
      <c r="M112" s="34" t="n">
        <f aca="false">81/1.2*1.05</f>
        <v>70.88</v>
      </c>
      <c r="N112" s="34" t="n">
        <f aca="false">D112*M112</f>
        <v>10632</v>
      </c>
      <c r="O112" s="35" t="n">
        <f aca="false">AVERAGE(G112,J112,M112)</f>
        <v>67.67</v>
      </c>
      <c r="P112" s="36" t="n">
        <f aca="false">E112*100/O112-100</f>
        <v>0</v>
      </c>
      <c r="Q112" s="35" t="n">
        <f aca="false">O112*D112</f>
        <v>10150.5</v>
      </c>
      <c r="R112" s="37"/>
      <c r="T112" s="39" t="n">
        <f aca="false">ROUND(G112*100/O112-100,0)</f>
        <v>-7</v>
      </c>
      <c r="U112" s="39" t="n">
        <f aca="false">ROUND(J112*100/O112-100,0)</f>
        <v>2</v>
      </c>
      <c r="V112" s="39" t="n">
        <f aca="false">ROUND(M112*100/O112-100,0)</f>
        <v>5</v>
      </c>
    </row>
    <row r="113" s="38" customFormat="true" ht="150" hidden="false" customHeight="true" outlineLevel="0" collapsed="false">
      <c r="A113" s="28" t="n">
        <v>103</v>
      </c>
      <c r="B113" s="57" t="s">
        <v>416</v>
      </c>
      <c r="C113" s="58" t="s">
        <v>143</v>
      </c>
      <c r="D113" s="59" t="n">
        <v>100</v>
      </c>
      <c r="E113" s="32" t="n">
        <f aca="false">O113</f>
        <v>157.5</v>
      </c>
      <c r="F113" s="33" t="s">
        <v>417</v>
      </c>
      <c r="G113" s="34" t="n">
        <f aca="false">202/1.2*1.05</f>
        <v>176.75</v>
      </c>
      <c r="H113" s="34" t="n">
        <f aca="false">D113*G113</f>
        <v>17675</v>
      </c>
      <c r="I113" s="33" t="s">
        <v>418</v>
      </c>
      <c r="J113" s="34" t="n">
        <f aca="false">180/1.2*1.05</f>
        <v>157.5</v>
      </c>
      <c r="K113" s="34" t="n">
        <f aca="false">D113*J113</f>
        <v>15750</v>
      </c>
      <c r="L113" s="33" t="s">
        <v>419</v>
      </c>
      <c r="M113" s="34" t="n">
        <f aca="false">158/1.2*1.05</f>
        <v>138.25</v>
      </c>
      <c r="N113" s="34" t="n">
        <f aca="false">D113*M113</f>
        <v>13825</v>
      </c>
      <c r="O113" s="35" t="n">
        <f aca="false">AVERAGE(G113,J113,M113)</f>
        <v>157.5</v>
      </c>
      <c r="P113" s="36" t="n">
        <f aca="false">E113*100/O113-100</f>
        <v>0</v>
      </c>
      <c r="Q113" s="35" t="n">
        <f aca="false">O113*D113</f>
        <v>15750</v>
      </c>
      <c r="R113" s="37"/>
      <c r="T113" s="39" t="n">
        <f aca="false">ROUND(G113*100/O113-100,0)</f>
        <v>12</v>
      </c>
      <c r="U113" s="39" t="n">
        <f aca="false">ROUND(J113*100/O113-100,0)</f>
        <v>0</v>
      </c>
      <c r="V113" s="39" t="n">
        <f aca="false">ROUND(M113*100/O113-100,0)</f>
        <v>-12</v>
      </c>
    </row>
    <row r="114" s="38" customFormat="true" ht="135" hidden="false" customHeight="true" outlineLevel="0" collapsed="false">
      <c r="A114" s="28" t="n">
        <v>104</v>
      </c>
      <c r="B114" s="57" t="s">
        <v>420</v>
      </c>
      <c r="C114" s="58" t="s">
        <v>143</v>
      </c>
      <c r="D114" s="59" t="n">
        <v>100</v>
      </c>
      <c r="E114" s="32" t="n">
        <f aca="false">O114</f>
        <v>40.25</v>
      </c>
      <c r="F114" s="33" t="s">
        <v>421</v>
      </c>
      <c r="G114" s="34" t="n">
        <f aca="false">45/1.2*1.05</f>
        <v>39.38</v>
      </c>
      <c r="H114" s="34" t="n">
        <f aca="false">D114*G114</f>
        <v>3938</v>
      </c>
      <c r="I114" s="33" t="s">
        <v>422</v>
      </c>
      <c r="J114" s="34" t="n">
        <f aca="false">50/1.2*1.05</f>
        <v>43.75</v>
      </c>
      <c r="K114" s="34" t="n">
        <f aca="false">D114*J114</f>
        <v>4375</v>
      </c>
      <c r="L114" s="33" t="s">
        <v>423</v>
      </c>
      <c r="M114" s="34" t="n">
        <f aca="false">43/1.2*1.05</f>
        <v>37.63</v>
      </c>
      <c r="N114" s="34" t="n">
        <f aca="false">D114*M114</f>
        <v>3763</v>
      </c>
      <c r="O114" s="35" t="n">
        <f aca="false">AVERAGE(G114,J114,M114)</f>
        <v>40.25</v>
      </c>
      <c r="P114" s="36" t="n">
        <f aca="false">E114*100/O114-100</f>
        <v>0</v>
      </c>
      <c r="Q114" s="35" t="n">
        <f aca="false">O114*D114</f>
        <v>4025</v>
      </c>
      <c r="R114" s="37"/>
      <c r="T114" s="39" t="n">
        <f aca="false">ROUND(G114*100/O114-100,0)</f>
        <v>-2</v>
      </c>
      <c r="U114" s="39" t="n">
        <f aca="false">ROUND(J114*100/O114-100,0)</f>
        <v>9</v>
      </c>
      <c r="V114" s="39" t="n">
        <f aca="false">ROUND(M114*100/O114-100,0)</f>
        <v>-7</v>
      </c>
    </row>
    <row r="115" s="38" customFormat="true" ht="105" hidden="false" customHeight="true" outlineLevel="0" collapsed="false">
      <c r="A115" s="28" t="n">
        <v>105</v>
      </c>
      <c r="B115" s="57" t="s">
        <v>424</v>
      </c>
      <c r="C115" s="58" t="s">
        <v>143</v>
      </c>
      <c r="D115" s="59" t="n">
        <v>170</v>
      </c>
      <c r="E115" s="32" t="n">
        <f aca="false">O115</f>
        <v>119.58</v>
      </c>
      <c r="F115" s="33" t="s">
        <v>425</v>
      </c>
      <c r="G115" s="34" t="n">
        <f aca="false">138/1.2*1.05</f>
        <v>120.75</v>
      </c>
      <c r="H115" s="34" t="n">
        <f aca="false">D115*G115</f>
        <v>20527.5</v>
      </c>
      <c r="I115" s="33" t="s">
        <v>426</v>
      </c>
      <c r="J115" s="34" t="n">
        <f aca="false">138/1.2*1.05</f>
        <v>120.75</v>
      </c>
      <c r="K115" s="34" t="n">
        <f aca="false">D115*J115</f>
        <v>20527.5</v>
      </c>
      <c r="L115" s="33" t="s">
        <v>427</v>
      </c>
      <c r="M115" s="34" t="n">
        <f aca="false">134/1.2*1.05</f>
        <v>117.25</v>
      </c>
      <c r="N115" s="34" t="n">
        <f aca="false">D115*M115</f>
        <v>19932.5</v>
      </c>
      <c r="O115" s="35" t="n">
        <f aca="false">AVERAGE(G115,J115,M115)</f>
        <v>119.58</v>
      </c>
      <c r="P115" s="36" t="n">
        <f aca="false">E115*100/O115-100</f>
        <v>0</v>
      </c>
      <c r="Q115" s="35" t="n">
        <f aca="false">O115*D115</f>
        <v>20328.6</v>
      </c>
      <c r="R115" s="37" t="s">
        <v>428</v>
      </c>
      <c r="T115" s="39" t="n">
        <f aca="false">ROUND(G115*100/O115-100,0)</f>
        <v>1</v>
      </c>
      <c r="U115" s="39" t="n">
        <f aca="false">ROUND(J115*100/O115-100,0)</f>
        <v>1</v>
      </c>
      <c r="V115" s="39" t="n">
        <f aca="false">ROUND(M115*100/O115-100,0)</f>
        <v>-2</v>
      </c>
    </row>
    <row r="116" s="38" customFormat="true" ht="165" hidden="false" customHeight="true" outlineLevel="0" collapsed="false">
      <c r="A116" s="28" t="n">
        <v>106</v>
      </c>
      <c r="B116" s="57" t="s">
        <v>429</v>
      </c>
      <c r="C116" s="58" t="s">
        <v>143</v>
      </c>
      <c r="D116" s="59" t="n">
        <v>215</v>
      </c>
      <c r="E116" s="32" t="n">
        <f aca="false">O116</f>
        <v>214.96</v>
      </c>
      <c r="F116" s="33" t="s">
        <v>430</v>
      </c>
      <c r="G116" s="34" t="n">
        <f aca="false">250/1.2*1.05</f>
        <v>218.75</v>
      </c>
      <c r="H116" s="34" t="n">
        <f aca="false">D116*G116</f>
        <v>47031.25</v>
      </c>
      <c r="I116" s="33" t="s">
        <v>431</v>
      </c>
      <c r="J116" s="34" t="n">
        <f aca="false">253/1.2*1.05</f>
        <v>221.38</v>
      </c>
      <c r="K116" s="34" t="n">
        <f aca="false">D116*J116</f>
        <v>47596.7</v>
      </c>
      <c r="L116" s="33" t="s">
        <v>432</v>
      </c>
      <c r="M116" s="34" t="n">
        <f aca="false">234/1.2*1.05</f>
        <v>204.75</v>
      </c>
      <c r="N116" s="34" t="n">
        <f aca="false">D116*M116</f>
        <v>44021.25</v>
      </c>
      <c r="O116" s="35" t="n">
        <f aca="false">AVERAGE(G116,J116,M116)</f>
        <v>214.96</v>
      </c>
      <c r="P116" s="36" t="n">
        <f aca="false">E116*100/O116-100</f>
        <v>0</v>
      </c>
      <c r="Q116" s="35" t="n">
        <f aca="false">O116*D116</f>
        <v>46216.4</v>
      </c>
      <c r="R116" s="37"/>
      <c r="T116" s="39" t="n">
        <f aca="false">ROUND(G116*100/O116-100,0)</f>
        <v>2</v>
      </c>
      <c r="U116" s="39" t="n">
        <f aca="false">ROUND(J116*100/O116-100,0)</f>
        <v>3</v>
      </c>
      <c r="V116" s="39" t="n">
        <f aca="false">ROUND(M116*100/O116-100,0)</f>
        <v>-5</v>
      </c>
    </row>
    <row r="117" s="38" customFormat="true" ht="63.75" hidden="false" customHeight="true" outlineLevel="0" collapsed="false">
      <c r="A117" s="28" t="n">
        <v>107</v>
      </c>
      <c r="B117" s="57" t="s">
        <v>433</v>
      </c>
      <c r="C117" s="58" t="s">
        <v>143</v>
      </c>
      <c r="D117" s="59" t="n">
        <v>300</v>
      </c>
      <c r="E117" s="32" t="n">
        <f aca="false">O117</f>
        <v>316.6</v>
      </c>
      <c r="F117" s="42" t="s">
        <v>434</v>
      </c>
      <c r="G117" s="34" t="n">
        <f aca="false">367.8/1.2*1.05</f>
        <v>321.83</v>
      </c>
      <c r="H117" s="34" t="n">
        <f aca="false">D117*G117</f>
        <v>96549</v>
      </c>
      <c r="I117" s="42" t="s">
        <v>435</v>
      </c>
      <c r="J117" s="34" t="n">
        <f aca="false">367.69/1.2*1.05</f>
        <v>321.73</v>
      </c>
      <c r="K117" s="34" t="n">
        <f aca="false">D117*J117</f>
        <v>96519</v>
      </c>
      <c r="L117" s="42" t="s">
        <v>436</v>
      </c>
      <c r="M117" s="34" t="n">
        <f aca="false">350/1.2*1.05</f>
        <v>306.25</v>
      </c>
      <c r="N117" s="34" t="n">
        <f aca="false">D117*M117</f>
        <v>91875</v>
      </c>
      <c r="O117" s="35" t="n">
        <f aca="false">AVERAGE(G117,J117,M117)</f>
        <v>316.6</v>
      </c>
      <c r="P117" s="36" t="n">
        <f aca="false">E117*100/O117-100</f>
        <v>0</v>
      </c>
      <c r="Q117" s="35" t="n">
        <f aca="false">O117*D117</f>
        <v>94980</v>
      </c>
      <c r="R117" s="37" t="s">
        <v>437</v>
      </c>
      <c r="T117" s="39" t="n">
        <f aca="false">ROUND(G117*100/O117-100,0)</f>
        <v>2</v>
      </c>
      <c r="U117" s="39" t="n">
        <f aca="false">ROUND(J117*100/O117-100,0)</f>
        <v>2</v>
      </c>
      <c r="V117" s="39" t="n">
        <f aca="false">ROUND(M117*100/O117-100,0)</f>
        <v>-3</v>
      </c>
    </row>
    <row r="118" s="38" customFormat="true" ht="102" hidden="false" customHeight="true" outlineLevel="0" collapsed="false">
      <c r="A118" s="28" t="n">
        <v>108</v>
      </c>
      <c r="B118" s="60" t="s">
        <v>438</v>
      </c>
      <c r="C118" s="58" t="s">
        <v>143</v>
      </c>
      <c r="D118" s="59" t="n">
        <v>75</v>
      </c>
      <c r="E118" s="32" t="n">
        <f aca="false">O118</f>
        <v>289.55</v>
      </c>
      <c r="F118" s="42" t="s">
        <v>439</v>
      </c>
      <c r="G118" s="34" t="n">
        <f aca="false">326/1.2*1.05</f>
        <v>285.25</v>
      </c>
      <c r="H118" s="34" t="n">
        <f aca="false">D118*G118</f>
        <v>21393.75</v>
      </c>
      <c r="I118" s="42" t="s">
        <v>440</v>
      </c>
      <c r="J118" s="34" t="n">
        <f aca="false">351/1.2*1.05</f>
        <v>307.13</v>
      </c>
      <c r="K118" s="34" t="n">
        <f aca="false">D118*J118</f>
        <v>23034.75</v>
      </c>
      <c r="L118" s="42" t="s">
        <v>441</v>
      </c>
      <c r="M118" s="34" t="n">
        <f aca="false">315.74/1.2*1.05</f>
        <v>276.27</v>
      </c>
      <c r="N118" s="34" t="n">
        <f aca="false">D118*M118</f>
        <v>20720.25</v>
      </c>
      <c r="O118" s="35" t="n">
        <f aca="false">AVERAGE(G118,J118,M118)</f>
        <v>289.55</v>
      </c>
      <c r="P118" s="36" t="n">
        <f aca="false">E118*100/O118-100</f>
        <v>0</v>
      </c>
      <c r="Q118" s="35" t="n">
        <f aca="false">O118*D118</f>
        <v>21716.25</v>
      </c>
      <c r="R118" s="37"/>
      <c r="T118" s="39" t="n">
        <f aca="false">ROUND(G118*100/O118-100,0)</f>
        <v>-1</v>
      </c>
      <c r="U118" s="39" t="n">
        <f aca="false">ROUND(J118*100/O118-100,0)</f>
        <v>6</v>
      </c>
      <c r="V118" s="39" t="n">
        <f aca="false">ROUND(M118*100/O118-100,0)</f>
        <v>-5</v>
      </c>
    </row>
    <row r="119" s="38" customFormat="true" ht="135" hidden="false" customHeight="true" outlineLevel="0" collapsed="false">
      <c r="A119" s="28" t="n">
        <v>109</v>
      </c>
      <c r="B119" s="57" t="s">
        <v>442</v>
      </c>
      <c r="C119" s="58" t="s">
        <v>143</v>
      </c>
      <c r="D119" s="59" t="n">
        <v>105</v>
      </c>
      <c r="E119" s="32" t="n">
        <f aca="false">O119</f>
        <v>97.93</v>
      </c>
      <c r="F119" s="33" t="s">
        <v>443</v>
      </c>
      <c r="G119" s="34" t="n">
        <f aca="false">107.15/1.2*1.05</f>
        <v>93.76</v>
      </c>
      <c r="H119" s="34" t="n">
        <f aca="false">D119*G119</f>
        <v>9844.8</v>
      </c>
      <c r="I119" s="33" t="s">
        <v>444</v>
      </c>
      <c r="J119" s="34" t="n">
        <f aca="false">111.6/1.2*1.05</f>
        <v>97.65</v>
      </c>
      <c r="K119" s="34" t="n">
        <f aca="false">D119*J119</f>
        <v>10253.25</v>
      </c>
      <c r="L119" s="33" t="s">
        <v>445</v>
      </c>
      <c r="M119" s="34" t="n">
        <f aca="false">117/1.2*1.05</f>
        <v>102.38</v>
      </c>
      <c r="N119" s="34" t="n">
        <f aca="false">D119*M119</f>
        <v>10749.9</v>
      </c>
      <c r="O119" s="35" t="n">
        <f aca="false">AVERAGE(G119,J119,M119)</f>
        <v>97.93</v>
      </c>
      <c r="P119" s="36" t="n">
        <f aca="false">E119*100/O119-100</f>
        <v>0</v>
      </c>
      <c r="Q119" s="35" t="n">
        <f aca="false">O119*D119</f>
        <v>10282.65</v>
      </c>
      <c r="R119" s="37"/>
      <c r="T119" s="39" t="n">
        <f aca="false">ROUND(G119*100/O119-100,0)</f>
        <v>-4</v>
      </c>
      <c r="U119" s="39" t="n">
        <f aca="false">ROUND(J119*100/O119-100,0)</f>
        <v>-0</v>
      </c>
      <c r="V119" s="39" t="n">
        <f aca="false">ROUND(M119*100/O119-100,0)</f>
        <v>5</v>
      </c>
    </row>
    <row r="120" s="38" customFormat="true" ht="150" hidden="false" customHeight="true" outlineLevel="0" collapsed="false">
      <c r="A120" s="28" t="n">
        <v>110</v>
      </c>
      <c r="B120" s="57" t="s">
        <v>446</v>
      </c>
      <c r="C120" s="58" t="s">
        <v>143</v>
      </c>
      <c r="D120" s="59" t="n">
        <v>185</v>
      </c>
      <c r="E120" s="32" t="n">
        <f aca="false">O120</f>
        <v>76.89</v>
      </c>
      <c r="F120" s="33" t="s">
        <v>447</v>
      </c>
      <c r="G120" s="34" t="n">
        <f aca="false">90.36/1.2*1.05</f>
        <v>79.07</v>
      </c>
      <c r="H120" s="34" t="n">
        <f aca="false">D120*G120</f>
        <v>14627.95</v>
      </c>
      <c r="I120" s="33" t="s">
        <v>448</v>
      </c>
      <c r="J120" s="34" t="n">
        <f aca="false">87/1.2*1.05</f>
        <v>76.13</v>
      </c>
      <c r="K120" s="34" t="n">
        <f aca="false">D120*J120</f>
        <v>14084.05</v>
      </c>
      <c r="L120" s="33" t="s">
        <v>449</v>
      </c>
      <c r="M120" s="34" t="n">
        <f aca="false">86.24/1.2*1.05</f>
        <v>75.46</v>
      </c>
      <c r="N120" s="34" t="n">
        <f aca="false">D120*M120</f>
        <v>13960.1</v>
      </c>
      <c r="O120" s="35" t="n">
        <f aca="false">AVERAGE(G120,J120,M120)</f>
        <v>76.89</v>
      </c>
      <c r="P120" s="36" t="n">
        <f aca="false">E120*100/O120-100</f>
        <v>0</v>
      </c>
      <c r="Q120" s="35" t="n">
        <f aca="false">O120*D120</f>
        <v>14224.65</v>
      </c>
      <c r="R120" s="37"/>
      <c r="T120" s="39" t="n">
        <f aca="false">ROUND(G120*100/O120-100,0)</f>
        <v>3</v>
      </c>
      <c r="U120" s="39" t="n">
        <f aca="false">ROUND(J120*100/O120-100,0)</f>
        <v>-1</v>
      </c>
      <c r="V120" s="39" t="n">
        <f aca="false">ROUND(M120*100/O120-100,0)</f>
        <v>-2</v>
      </c>
    </row>
    <row r="121" s="38" customFormat="true" ht="76.5" hidden="false" customHeight="true" outlineLevel="0" collapsed="false">
      <c r="A121" s="28" t="n">
        <v>111</v>
      </c>
      <c r="B121" s="57" t="s">
        <v>450</v>
      </c>
      <c r="C121" s="58" t="s">
        <v>143</v>
      </c>
      <c r="D121" s="59" t="n">
        <v>75</v>
      </c>
      <c r="E121" s="32" t="n">
        <f aca="false">O121</f>
        <v>5597.67</v>
      </c>
      <c r="F121" s="42" t="s">
        <v>451</v>
      </c>
      <c r="G121" s="34" t="n">
        <f aca="false">6740/1.2*1.05</f>
        <v>5897.5</v>
      </c>
      <c r="H121" s="34" t="n">
        <f aca="false">D121*G121</f>
        <v>442312.5</v>
      </c>
      <c r="I121" s="42" t="s">
        <v>452</v>
      </c>
      <c r="J121" s="34" t="n">
        <f aca="false">6469/1.2*1.05</f>
        <v>5660.38</v>
      </c>
      <c r="K121" s="34" t="n">
        <f aca="false">D121*J121</f>
        <v>424528.5</v>
      </c>
      <c r="L121" s="42" t="s">
        <v>453</v>
      </c>
      <c r="M121" s="34" t="n">
        <f aca="false">5983/1.2*1.05</f>
        <v>5235.13</v>
      </c>
      <c r="N121" s="34" t="n">
        <f aca="false">D121*M121</f>
        <v>392634.75</v>
      </c>
      <c r="O121" s="35" t="n">
        <f aca="false">AVERAGE(G121,J121,M121)</f>
        <v>5597.67</v>
      </c>
      <c r="P121" s="36" t="n">
        <f aca="false">E121*100/O121-100</f>
        <v>0</v>
      </c>
      <c r="Q121" s="35" t="n">
        <f aca="false">O121*D121</f>
        <v>419825.25</v>
      </c>
      <c r="R121" s="37"/>
      <c r="T121" s="39" t="n">
        <f aca="false">ROUND(G121*100/O121-100,0)</f>
        <v>5</v>
      </c>
      <c r="U121" s="39" t="n">
        <f aca="false">ROUND(J121*100/O121-100,0)</f>
        <v>1</v>
      </c>
      <c r="V121" s="39" t="n">
        <f aca="false">ROUND(M121*100/O121-100,0)</f>
        <v>-6</v>
      </c>
    </row>
    <row r="122" s="38" customFormat="true" ht="140.25" hidden="false" customHeight="true" outlineLevel="0" collapsed="false">
      <c r="A122" s="28" t="n">
        <v>112</v>
      </c>
      <c r="B122" s="57" t="s">
        <v>454</v>
      </c>
      <c r="C122" s="58" t="s">
        <v>143</v>
      </c>
      <c r="D122" s="59" t="n">
        <v>420</v>
      </c>
      <c r="E122" s="32" t="n">
        <f aca="false">O122</f>
        <v>198.61</v>
      </c>
      <c r="F122" s="42" t="s">
        <v>455</v>
      </c>
      <c r="G122" s="34" t="n">
        <f aca="false">245/1.2*1.05</f>
        <v>214.38</v>
      </c>
      <c r="H122" s="34" t="n">
        <f aca="false">D122*G122</f>
        <v>90039.6</v>
      </c>
      <c r="I122" s="42" t="s">
        <v>456</v>
      </c>
      <c r="J122" s="34" t="n">
        <f aca="false">225/1.2*1.05</f>
        <v>196.88</v>
      </c>
      <c r="K122" s="34" t="n">
        <f aca="false">D122*J122</f>
        <v>82689.6</v>
      </c>
      <c r="L122" s="42" t="s">
        <v>457</v>
      </c>
      <c r="M122" s="34" t="n">
        <f aca="false">210.92/1.2*1.05</f>
        <v>184.56</v>
      </c>
      <c r="N122" s="34" t="n">
        <f aca="false">D122*M122</f>
        <v>77515.2</v>
      </c>
      <c r="O122" s="35" t="n">
        <f aca="false">AVERAGE(G122,J122,M122)</f>
        <v>198.61</v>
      </c>
      <c r="P122" s="36" t="n">
        <f aca="false">E122*100/O122-100</f>
        <v>0</v>
      </c>
      <c r="Q122" s="35" t="n">
        <f aca="false">O122*D122</f>
        <v>83416.2</v>
      </c>
      <c r="R122" s="37"/>
      <c r="T122" s="39" t="n">
        <f aca="false">ROUND(G122*100/O122-100,0)</f>
        <v>8</v>
      </c>
      <c r="U122" s="39" t="n">
        <f aca="false">ROUND(J122*100/O122-100,0)</f>
        <v>-1</v>
      </c>
      <c r="V122" s="39" t="n">
        <f aca="false">ROUND(M122*100/O122-100,0)</f>
        <v>-7</v>
      </c>
    </row>
    <row r="123" s="38" customFormat="true" ht="102" hidden="false" customHeight="true" outlineLevel="0" collapsed="false">
      <c r="A123" s="28" t="n">
        <v>113</v>
      </c>
      <c r="B123" s="57" t="s">
        <v>458</v>
      </c>
      <c r="C123" s="58" t="s">
        <v>143</v>
      </c>
      <c r="D123" s="59" t="n">
        <v>415</v>
      </c>
      <c r="E123" s="32" t="n">
        <f aca="false">O123</f>
        <v>32.42</v>
      </c>
      <c r="F123" s="42" t="s">
        <v>459</v>
      </c>
      <c r="G123" s="34" t="n">
        <f aca="false">37.56/1.2*1.05</f>
        <v>32.87</v>
      </c>
      <c r="H123" s="34" t="n">
        <f aca="false">D123*G123</f>
        <v>13641.05</v>
      </c>
      <c r="I123" s="42" t="s">
        <v>460</v>
      </c>
      <c r="J123" s="34" t="n">
        <f aca="false">38/1.2*1.05</f>
        <v>33.25</v>
      </c>
      <c r="K123" s="34" t="n">
        <f aca="false">D123*J123</f>
        <v>13798.75</v>
      </c>
      <c r="L123" s="42" t="s">
        <v>461</v>
      </c>
      <c r="M123" s="34" t="n">
        <f aca="false">35.59/1.2*1.05</f>
        <v>31.14</v>
      </c>
      <c r="N123" s="34" t="n">
        <f aca="false">D123*M123</f>
        <v>12923.1</v>
      </c>
      <c r="O123" s="35" t="n">
        <f aca="false">AVERAGE(G123,J123,M123)</f>
        <v>32.42</v>
      </c>
      <c r="P123" s="36" t="n">
        <f aca="false">E123*100/O123-100</f>
        <v>0</v>
      </c>
      <c r="Q123" s="35" t="n">
        <f aca="false">O123*D123</f>
        <v>13454.3</v>
      </c>
      <c r="R123" s="37"/>
      <c r="T123" s="39" t="n">
        <f aca="false">ROUND(G123*100/O123-100,0)</f>
        <v>1</v>
      </c>
      <c r="U123" s="39" t="n">
        <f aca="false">ROUND(J123*100/O123-100,0)</f>
        <v>3</v>
      </c>
      <c r="V123" s="39" t="n">
        <f aca="false">ROUND(M123*100/O123-100,0)</f>
        <v>-4</v>
      </c>
    </row>
    <row r="124" s="38" customFormat="true" ht="120" hidden="false" customHeight="true" outlineLevel="0" collapsed="false">
      <c r="A124" s="28" t="n">
        <v>114</v>
      </c>
      <c r="B124" s="57" t="s">
        <v>462</v>
      </c>
      <c r="C124" s="58" t="s">
        <v>143</v>
      </c>
      <c r="D124" s="59" t="n">
        <v>185</v>
      </c>
      <c r="E124" s="32" t="n">
        <f aca="false">O124</f>
        <v>420.26</v>
      </c>
      <c r="F124" s="33" t="s">
        <v>463</v>
      </c>
      <c r="G124" s="34" t="n">
        <f aca="false">480/1.2*1.05</f>
        <v>420</v>
      </c>
      <c r="H124" s="34" t="n">
        <f aca="false">D124*G124</f>
        <v>77700</v>
      </c>
      <c r="I124" s="33" t="s">
        <v>464</v>
      </c>
      <c r="J124" s="34" t="n">
        <v>420</v>
      </c>
      <c r="K124" s="34" t="n">
        <f aca="false">D124*J124</f>
        <v>77700</v>
      </c>
      <c r="L124" s="33" t="s">
        <v>465</v>
      </c>
      <c r="M124" s="34" t="n">
        <f aca="false">480.89/1.2*1.05</f>
        <v>420.78</v>
      </c>
      <c r="N124" s="34" t="n">
        <f aca="false">D124*M124</f>
        <v>77844.3</v>
      </c>
      <c r="O124" s="35" t="n">
        <f aca="false">AVERAGE(G124,J124,M124)</f>
        <v>420.26</v>
      </c>
      <c r="P124" s="36" t="n">
        <f aca="false">E124*100/O124-100</f>
        <v>0</v>
      </c>
      <c r="Q124" s="35" t="n">
        <f aca="false">O124*D124</f>
        <v>77748.1</v>
      </c>
      <c r="R124" s="37"/>
      <c r="T124" s="39" t="n">
        <f aca="false">ROUND(G124*100/O124-100,0)</f>
        <v>-0</v>
      </c>
      <c r="U124" s="39" t="n">
        <f aca="false">ROUND(J124*100/O124-100,0)</f>
        <v>-0</v>
      </c>
      <c r="V124" s="39" t="n">
        <f aca="false">ROUND(M124*100/O124-100,0)</f>
        <v>0</v>
      </c>
    </row>
    <row r="125" s="38" customFormat="true" ht="75" hidden="false" customHeight="true" outlineLevel="0" collapsed="false">
      <c r="A125" s="28" t="n">
        <v>115</v>
      </c>
      <c r="B125" s="57" t="s">
        <v>466</v>
      </c>
      <c r="C125" s="58" t="s">
        <v>143</v>
      </c>
      <c r="D125" s="59" t="n">
        <v>85</v>
      </c>
      <c r="E125" s="32" t="n">
        <f aca="false">O125</f>
        <v>339.5</v>
      </c>
      <c r="F125" s="33" t="s">
        <v>467</v>
      </c>
      <c r="G125" s="34" t="n">
        <f aca="false">387/1.2*1.05</f>
        <v>338.63</v>
      </c>
      <c r="H125" s="34" t="n">
        <f aca="false">D125*G125</f>
        <v>28783.55</v>
      </c>
      <c r="I125" s="33" t="s">
        <v>468</v>
      </c>
      <c r="J125" s="34" t="n">
        <f aca="false">387/1.2*1.05</f>
        <v>338.63</v>
      </c>
      <c r="K125" s="34" t="n">
        <f aca="false">D125*J125</f>
        <v>28783.55</v>
      </c>
      <c r="L125" s="33" t="s">
        <v>469</v>
      </c>
      <c r="M125" s="34" t="n">
        <f aca="false">390/1.2*1.05</f>
        <v>341.25</v>
      </c>
      <c r="N125" s="34" t="n">
        <f aca="false">D125*M125</f>
        <v>29006.25</v>
      </c>
      <c r="O125" s="35" t="n">
        <f aca="false">AVERAGE(G125,J125,M125)</f>
        <v>339.5</v>
      </c>
      <c r="P125" s="36" t="n">
        <f aca="false">E125*100/O125-100</f>
        <v>0</v>
      </c>
      <c r="Q125" s="35" t="n">
        <f aca="false">O125*D125</f>
        <v>28857.5</v>
      </c>
      <c r="R125" s="37"/>
      <c r="T125" s="39" t="n">
        <f aca="false">ROUND(G125*100/O125-100,0)</f>
        <v>-0</v>
      </c>
      <c r="U125" s="39" t="n">
        <f aca="false">ROUND(J125*100/O125-100,0)</f>
        <v>-0</v>
      </c>
      <c r="V125" s="39" t="n">
        <f aca="false">ROUND(M125*100/O125-100,0)</f>
        <v>1</v>
      </c>
    </row>
    <row r="126" s="38" customFormat="true" ht="60" hidden="false" customHeight="true" outlineLevel="0" collapsed="false">
      <c r="A126" s="28" t="n">
        <v>116</v>
      </c>
      <c r="B126" s="60" t="s">
        <v>470</v>
      </c>
      <c r="C126" s="58" t="s">
        <v>143</v>
      </c>
      <c r="D126" s="59" t="n">
        <v>230</v>
      </c>
      <c r="E126" s="32" t="n">
        <f aca="false">O126</f>
        <v>584.74</v>
      </c>
      <c r="F126" s="33" t="s">
        <v>471</v>
      </c>
      <c r="G126" s="34" t="n">
        <f aca="false">670/1.2*1.05</f>
        <v>586.25</v>
      </c>
      <c r="H126" s="34" t="n">
        <f aca="false">D126*G126</f>
        <v>134837.5</v>
      </c>
      <c r="I126" s="33" t="s">
        <v>472</v>
      </c>
      <c r="J126" s="34" t="n">
        <f aca="false">667.8/1.2*1.05</f>
        <v>584.33</v>
      </c>
      <c r="K126" s="34" t="n">
        <f aca="false">D126*J126</f>
        <v>134395.9</v>
      </c>
      <c r="L126" s="33" t="s">
        <v>473</v>
      </c>
      <c r="M126" s="34" t="n">
        <f aca="false">667/1.2*1.05</f>
        <v>583.63</v>
      </c>
      <c r="N126" s="34" t="n">
        <f aca="false">D126*M126</f>
        <v>134234.9</v>
      </c>
      <c r="O126" s="35" t="n">
        <f aca="false">AVERAGE(G126,J126,M126)</f>
        <v>584.74</v>
      </c>
      <c r="P126" s="36" t="n">
        <f aca="false">E126*100/O126-100</f>
        <v>0</v>
      </c>
      <c r="Q126" s="35" t="n">
        <f aca="false">O126*D126</f>
        <v>134490.2</v>
      </c>
      <c r="R126" s="37"/>
      <c r="T126" s="39" t="n">
        <f aca="false">ROUND(G126*100/O126-100,0)</f>
        <v>0</v>
      </c>
      <c r="U126" s="39" t="n">
        <f aca="false">ROUND(J126*100/O126-100,0)</f>
        <v>-0</v>
      </c>
      <c r="V126" s="39" t="n">
        <f aca="false">ROUND(M126*100/O126-100,0)</f>
        <v>-0</v>
      </c>
    </row>
    <row r="127" s="38" customFormat="true" ht="89.25" hidden="false" customHeight="true" outlineLevel="0" collapsed="false">
      <c r="A127" s="28" t="n">
        <v>117</v>
      </c>
      <c r="B127" s="57" t="s">
        <v>474</v>
      </c>
      <c r="C127" s="58" t="s">
        <v>143</v>
      </c>
      <c r="D127" s="59" t="n">
        <v>5</v>
      </c>
      <c r="E127" s="32" t="n">
        <f aca="false">O127</f>
        <v>232.66</v>
      </c>
      <c r="F127" s="42" t="s">
        <v>475</v>
      </c>
      <c r="G127" s="34" t="n">
        <f aca="false">234.68/1.2*1.05</f>
        <v>205.35</v>
      </c>
      <c r="H127" s="34" t="n">
        <f aca="false">D127*G127</f>
        <v>1026.75</v>
      </c>
      <c r="I127" s="42" t="s">
        <v>476</v>
      </c>
      <c r="J127" s="34" t="n">
        <f aca="false">263/1.2*1.05</f>
        <v>230.13</v>
      </c>
      <c r="K127" s="34" t="n">
        <f aca="false">D127*J127</f>
        <v>1150.65</v>
      </c>
      <c r="L127" s="42" t="s">
        <v>477</v>
      </c>
      <c r="M127" s="34" t="n">
        <f aca="false">300/1.2*1.05</f>
        <v>262.5</v>
      </c>
      <c r="N127" s="34" t="n">
        <f aca="false">D127*M127</f>
        <v>1312.5</v>
      </c>
      <c r="O127" s="35" t="n">
        <f aca="false">AVERAGE(G127,J127,M127)</f>
        <v>232.66</v>
      </c>
      <c r="P127" s="36" t="n">
        <f aca="false">E127*100/O127-100</f>
        <v>0</v>
      </c>
      <c r="Q127" s="35" t="n">
        <f aca="false">O127*D127</f>
        <v>1163.3</v>
      </c>
      <c r="R127" s="51" t="s">
        <v>478</v>
      </c>
      <c r="T127" s="39" t="n">
        <f aca="false">ROUND(G127*100/O127-100,0)</f>
        <v>-12</v>
      </c>
      <c r="U127" s="39" t="n">
        <f aca="false">ROUND(J127*100/O127-100,0)</f>
        <v>-1</v>
      </c>
      <c r="V127" s="39" t="n">
        <f aca="false">ROUND(M127*100/O127-100,0)</f>
        <v>13</v>
      </c>
    </row>
    <row r="128" s="38" customFormat="true" ht="102" hidden="false" customHeight="true" outlineLevel="0" collapsed="false">
      <c r="A128" s="28" t="n">
        <v>118</v>
      </c>
      <c r="B128" s="57" t="s">
        <v>479</v>
      </c>
      <c r="C128" s="58" t="s">
        <v>143</v>
      </c>
      <c r="D128" s="59" t="n">
        <v>20</v>
      </c>
      <c r="E128" s="32" t="n">
        <f aca="false">O128</f>
        <v>143.78</v>
      </c>
      <c r="F128" s="42" t="s">
        <v>480</v>
      </c>
      <c r="G128" s="34" t="n">
        <f aca="false">166/1.2*1.05</f>
        <v>145.25</v>
      </c>
      <c r="H128" s="34" t="n">
        <f aca="false">D128*G128</f>
        <v>2905</v>
      </c>
      <c r="I128" s="42" t="s">
        <v>481</v>
      </c>
      <c r="J128" s="34" t="n">
        <f aca="false">166.97/1.2*1.05</f>
        <v>146.1</v>
      </c>
      <c r="K128" s="34" t="n">
        <f aca="false">D128*J128</f>
        <v>2922</v>
      </c>
      <c r="L128" s="42" t="s">
        <v>482</v>
      </c>
      <c r="M128" s="34" t="n">
        <f aca="false">160/1.2*1.05</f>
        <v>140</v>
      </c>
      <c r="N128" s="34" t="n">
        <f aca="false">D128*M128</f>
        <v>2800</v>
      </c>
      <c r="O128" s="35" t="n">
        <f aca="false">AVERAGE(G128,J128,M128)</f>
        <v>143.78</v>
      </c>
      <c r="P128" s="36" t="n">
        <f aca="false">E128*100/O128-100</f>
        <v>0</v>
      </c>
      <c r="Q128" s="35" t="n">
        <f aca="false">O128*D128</f>
        <v>2875.6</v>
      </c>
      <c r="R128" s="37"/>
      <c r="T128" s="39" t="n">
        <f aca="false">ROUND(G128*100/O128-100,0)</f>
        <v>1</v>
      </c>
      <c r="U128" s="39" t="n">
        <f aca="false">ROUND(J128*100/O128-100,0)</f>
        <v>2</v>
      </c>
      <c r="V128" s="39" t="n">
        <f aca="false">ROUND(M128*100/O128-100,0)</f>
        <v>-3</v>
      </c>
    </row>
    <row r="129" s="38" customFormat="true" ht="89.25" hidden="false" customHeight="true" outlineLevel="0" collapsed="false">
      <c r="A129" s="28" t="n">
        <v>119</v>
      </c>
      <c r="B129" s="57" t="s">
        <v>483</v>
      </c>
      <c r="C129" s="58" t="s">
        <v>143</v>
      </c>
      <c r="D129" s="59" t="n">
        <v>340</v>
      </c>
      <c r="E129" s="32" t="n">
        <f aca="false">O129</f>
        <v>221.09</v>
      </c>
      <c r="F129" s="42" t="s">
        <v>484</v>
      </c>
      <c r="G129" s="34" t="n">
        <f aca="false">235/1.2*1.05</f>
        <v>205.63</v>
      </c>
      <c r="H129" s="34" t="n">
        <f aca="false">D129*G129</f>
        <v>69914.2</v>
      </c>
      <c r="I129" s="42" t="s">
        <v>485</v>
      </c>
      <c r="J129" s="34" t="n">
        <f aca="false">271/1.2*1.05</f>
        <v>237.13</v>
      </c>
      <c r="K129" s="34" t="n">
        <f aca="false">D129*J129</f>
        <v>80624.2</v>
      </c>
      <c r="L129" s="42" t="s">
        <v>486</v>
      </c>
      <c r="M129" s="34" t="n">
        <f aca="false">252/1.2*1.05</f>
        <v>220.5</v>
      </c>
      <c r="N129" s="34" t="n">
        <f aca="false">D129*M129</f>
        <v>74970</v>
      </c>
      <c r="O129" s="35" t="n">
        <f aca="false">AVERAGE(G129,J129,M129)</f>
        <v>221.09</v>
      </c>
      <c r="P129" s="36" t="n">
        <f aca="false">E129*100/O129-100</f>
        <v>0</v>
      </c>
      <c r="Q129" s="35" t="n">
        <f aca="false">O129*D129</f>
        <v>75170.6</v>
      </c>
      <c r="R129" s="37"/>
      <c r="T129" s="39" t="n">
        <f aca="false">ROUND(G129*100/O129-100,0)</f>
        <v>-7</v>
      </c>
      <c r="U129" s="39" t="n">
        <f aca="false">ROUND(J129*100/O129-100,0)</f>
        <v>7</v>
      </c>
      <c r="V129" s="39" t="n">
        <f aca="false">ROUND(M129*100/O129-100,0)</f>
        <v>-0</v>
      </c>
    </row>
    <row r="130" s="38" customFormat="true" ht="102" hidden="false" customHeight="true" outlineLevel="0" collapsed="false">
      <c r="A130" s="28" t="n">
        <v>120</v>
      </c>
      <c r="B130" s="57" t="s">
        <v>487</v>
      </c>
      <c r="C130" s="58" t="s">
        <v>143</v>
      </c>
      <c r="D130" s="59" t="n">
        <v>340</v>
      </c>
      <c r="E130" s="32" t="n">
        <f aca="false">O130</f>
        <v>329.3</v>
      </c>
      <c r="F130" s="42" t="s">
        <v>488</v>
      </c>
      <c r="G130" s="34" t="n">
        <f aca="false">379/1.2*1.05</f>
        <v>331.63</v>
      </c>
      <c r="H130" s="34" t="n">
        <f aca="false">D130*G130</f>
        <v>112754.2</v>
      </c>
      <c r="I130" s="42" t="s">
        <v>489</v>
      </c>
      <c r="J130" s="34" t="n">
        <f aca="false">375/1.2*1.05</f>
        <v>328.13</v>
      </c>
      <c r="K130" s="34" t="n">
        <f aca="false">D130*J130</f>
        <v>111564.2</v>
      </c>
      <c r="L130" s="42" t="s">
        <v>490</v>
      </c>
      <c r="M130" s="34" t="n">
        <f aca="false">375/1.2*1.05</f>
        <v>328.13</v>
      </c>
      <c r="N130" s="34" t="n">
        <f aca="false">D130*M130</f>
        <v>111564.2</v>
      </c>
      <c r="O130" s="35" t="n">
        <f aca="false">AVERAGE(G130,J130,M130)</f>
        <v>329.3</v>
      </c>
      <c r="P130" s="36" t="n">
        <f aca="false">E130*100/O130-100</f>
        <v>0</v>
      </c>
      <c r="Q130" s="35" t="n">
        <f aca="false">O130*D130</f>
        <v>111962</v>
      </c>
      <c r="R130" s="37"/>
      <c r="T130" s="39" t="n">
        <f aca="false">ROUND(G130*100/O130-100,0)</f>
        <v>1</v>
      </c>
      <c r="U130" s="39" t="n">
        <f aca="false">ROUND(J130*100/O130-100,0)</f>
        <v>-0</v>
      </c>
      <c r="V130" s="39" t="n">
        <f aca="false">ROUND(M130*100/O130-100,0)</f>
        <v>-0</v>
      </c>
    </row>
    <row r="131" s="38" customFormat="true" ht="89.25" hidden="false" customHeight="true" outlineLevel="0" collapsed="false">
      <c r="A131" s="28" t="n">
        <v>121</v>
      </c>
      <c r="B131" s="57" t="s">
        <v>491</v>
      </c>
      <c r="C131" s="58" t="s">
        <v>143</v>
      </c>
      <c r="D131" s="59" t="n">
        <v>250</v>
      </c>
      <c r="E131" s="32" t="n">
        <f aca="false">O131</f>
        <v>688.63</v>
      </c>
      <c r="F131" s="42" t="s">
        <v>492</v>
      </c>
      <c r="G131" s="34" t="n">
        <f aca="false">774/1.2*1.05</f>
        <v>677.25</v>
      </c>
      <c r="H131" s="34" t="n">
        <f aca="false">D131*G131</f>
        <v>169312.5</v>
      </c>
      <c r="I131" s="42" t="s">
        <v>493</v>
      </c>
      <c r="J131" s="34" t="n">
        <f aca="false">813/1.2*1.05</f>
        <v>711.38</v>
      </c>
      <c r="K131" s="34" t="n">
        <f aca="false">D131*J131</f>
        <v>177845</v>
      </c>
      <c r="L131" s="42" t="s">
        <v>494</v>
      </c>
      <c r="M131" s="34" t="n">
        <f aca="false">774/1.2*1.05</f>
        <v>677.25</v>
      </c>
      <c r="N131" s="34" t="n">
        <f aca="false">D131*M131</f>
        <v>169312.5</v>
      </c>
      <c r="O131" s="35" t="n">
        <f aca="false">AVERAGE(G131,J131,M131)</f>
        <v>688.63</v>
      </c>
      <c r="P131" s="36" t="n">
        <f aca="false">E131*100/O131-100</f>
        <v>0</v>
      </c>
      <c r="Q131" s="35" t="n">
        <f aca="false">O131*D131</f>
        <v>172157.5</v>
      </c>
      <c r="R131" s="37"/>
      <c r="T131" s="39" t="n">
        <f aca="false">ROUND(G131*100/O131-100,0)</f>
        <v>-2</v>
      </c>
      <c r="U131" s="39" t="n">
        <f aca="false">ROUND(J131*100/O131-100,0)</f>
        <v>3</v>
      </c>
      <c r="V131" s="39" t="n">
        <f aca="false">ROUND(M131*100/O131-100,0)</f>
        <v>-2</v>
      </c>
    </row>
    <row r="132" s="38" customFormat="true" ht="76.5" hidden="false" customHeight="true" outlineLevel="0" collapsed="false">
      <c r="A132" s="28" t="n">
        <v>122</v>
      </c>
      <c r="B132" s="60" t="s">
        <v>495</v>
      </c>
      <c r="C132" s="58" t="s">
        <v>143</v>
      </c>
      <c r="D132" s="59" t="n">
        <v>180</v>
      </c>
      <c r="E132" s="32" t="n">
        <f aca="false">O132</f>
        <v>325.8</v>
      </c>
      <c r="F132" s="42" t="s">
        <v>496</v>
      </c>
      <c r="G132" s="34" t="n">
        <f aca="false">369/1.2*1.05</f>
        <v>322.88</v>
      </c>
      <c r="H132" s="34" t="n">
        <f aca="false">D132*G132</f>
        <v>58118.4</v>
      </c>
      <c r="I132" s="42" t="s">
        <v>497</v>
      </c>
      <c r="J132" s="34" t="n">
        <f aca="false">379/1.2*1.05</f>
        <v>331.63</v>
      </c>
      <c r="K132" s="34" t="n">
        <f aca="false">D132*J132</f>
        <v>59693.4</v>
      </c>
      <c r="L132" s="42" t="s">
        <v>498</v>
      </c>
      <c r="M132" s="34" t="n">
        <f aca="false">369/1.2*1.05</f>
        <v>322.88</v>
      </c>
      <c r="N132" s="34" t="n">
        <f aca="false">D132*M132</f>
        <v>58118.4</v>
      </c>
      <c r="O132" s="35" t="n">
        <f aca="false">AVERAGE(G132,J132,M132)</f>
        <v>325.8</v>
      </c>
      <c r="P132" s="36" t="n">
        <f aca="false">E132*100/O132-100</f>
        <v>0</v>
      </c>
      <c r="Q132" s="35" t="n">
        <f aca="false">O132*D132</f>
        <v>58644</v>
      </c>
      <c r="R132" s="37"/>
      <c r="T132" s="39" t="n">
        <f aca="false">ROUND(G132*100/O132-100,0)</f>
        <v>-1</v>
      </c>
      <c r="U132" s="39" t="n">
        <f aca="false">ROUND(J132*100/O132-100,0)</f>
        <v>2</v>
      </c>
      <c r="V132" s="39" t="n">
        <f aca="false">ROUND(M132*100/O132-100,0)</f>
        <v>-1</v>
      </c>
    </row>
    <row r="133" s="38" customFormat="true" ht="63.75" hidden="false" customHeight="true" outlineLevel="0" collapsed="false">
      <c r="A133" s="28" t="n">
        <v>123</v>
      </c>
      <c r="B133" s="57" t="s">
        <v>499</v>
      </c>
      <c r="C133" s="58" t="s">
        <v>365</v>
      </c>
      <c r="D133" s="59" t="n">
        <v>500</v>
      </c>
      <c r="E133" s="32" t="n">
        <f aca="false">O133</f>
        <v>73.5</v>
      </c>
      <c r="F133" s="42" t="s">
        <v>500</v>
      </c>
      <c r="G133" s="34" t="n">
        <f aca="false">4330/50/1.2*1.05</f>
        <v>75.78</v>
      </c>
      <c r="H133" s="34" t="n">
        <f aca="false">D133*G133</f>
        <v>37890</v>
      </c>
      <c r="I133" s="42" t="s">
        <v>501</v>
      </c>
      <c r="J133" s="34" t="n">
        <f aca="false">3870/50/1.2*1.05</f>
        <v>67.73</v>
      </c>
      <c r="K133" s="34" t="n">
        <f aca="false">D133*J133</f>
        <v>33865</v>
      </c>
      <c r="L133" s="42" t="s">
        <v>502</v>
      </c>
      <c r="M133" s="34" t="n">
        <f aca="false">4400/50/1.2*1.05</f>
        <v>77</v>
      </c>
      <c r="N133" s="34" t="n">
        <f aca="false">D133*M133</f>
        <v>38500</v>
      </c>
      <c r="O133" s="35" t="n">
        <f aca="false">AVERAGE(G133,J133,M133)</f>
        <v>73.5</v>
      </c>
      <c r="P133" s="36" t="n">
        <f aca="false">E133*100/O133-100</f>
        <v>0</v>
      </c>
      <c r="Q133" s="35" t="n">
        <f aca="false">O133*D133</f>
        <v>36750</v>
      </c>
      <c r="R133" s="37"/>
      <c r="T133" s="39" t="n">
        <f aca="false">ROUND(G133*100/O133-100,0)</f>
        <v>3</v>
      </c>
      <c r="U133" s="39" t="n">
        <f aca="false">ROUND(J133*100/O133-100,0)</f>
        <v>-8</v>
      </c>
      <c r="V133" s="39" t="n">
        <f aca="false">ROUND(M133*100/O133-100,0)</f>
        <v>5</v>
      </c>
    </row>
    <row r="134" s="38" customFormat="true" ht="51" hidden="false" customHeight="true" outlineLevel="0" collapsed="false">
      <c r="A134" s="28" t="n">
        <v>124</v>
      </c>
      <c r="B134" s="60" t="s">
        <v>503</v>
      </c>
      <c r="C134" s="58" t="s">
        <v>64</v>
      </c>
      <c r="D134" s="59" t="n">
        <v>1002</v>
      </c>
      <c r="E134" s="32" t="n">
        <f aca="false">O134</f>
        <v>105</v>
      </c>
      <c r="F134" s="42" t="s">
        <v>504</v>
      </c>
      <c r="G134" s="34" t="n">
        <f aca="false">120/1.2*1.05</f>
        <v>105</v>
      </c>
      <c r="H134" s="34" t="n">
        <f aca="false">D134*G134</f>
        <v>105210</v>
      </c>
      <c r="I134" s="42" t="s">
        <v>505</v>
      </c>
      <c r="J134" s="34" t="n">
        <f aca="false">120/1.2*1.05</f>
        <v>105</v>
      </c>
      <c r="K134" s="34" t="n">
        <f aca="false">D134*J134</f>
        <v>105210</v>
      </c>
      <c r="L134" s="42" t="s">
        <v>506</v>
      </c>
      <c r="M134" s="34" t="n">
        <f aca="false">120/1.2*1.05</f>
        <v>105</v>
      </c>
      <c r="N134" s="34" t="n">
        <f aca="false">D134*M134</f>
        <v>105210</v>
      </c>
      <c r="O134" s="35" t="n">
        <f aca="false">AVERAGE(G134,J134,M134)</f>
        <v>105</v>
      </c>
      <c r="P134" s="36" t="n">
        <f aca="false">E134*100/O134-100</f>
        <v>0</v>
      </c>
      <c r="Q134" s="35" t="n">
        <f aca="false">O134*D134</f>
        <v>105210</v>
      </c>
      <c r="R134" s="37" t="s">
        <v>507</v>
      </c>
      <c r="T134" s="39" t="n">
        <f aca="false">ROUND(G134*100/O134-100,0)</f>
        <v>0</v>
      </c>
      <c r="U134" s="39" t="n">
        <f aca="false">ROUND(J134*100/O134-100,0)</f>
        <v>0</v>
      </c>
      <c r="V134" s="39" t="n">
        <f aca="false">ROUND(M134*100/O134-100,0)</f>
        <v>0</v>
      </c>
    </row>
    <row r="135" s="38" customFormat="true" ht="51" hidden="false" customHeight="true" outlineLevel="0" collapsed="false">
      <c r="A135" s="28" t="n">
        <v>125</v>
      </c>
      <c r="B135" s="60" t="s">
        <v>508</v>
      </c>
      <c r="C135" s="58" t="s">
        <v>27</v>
      </c>
      <c r="D135" s="59" t="n">
        <v>265</v>
      </c>
      <c r="E135" s="32" t="n">
        <f aca="false">O135</f>
        <v>72.86</v>
      </c>
      <c r="F135" s="42" t="s">
        <v>509</v>
      </c>
      <c r="G135" s="34" t="n">
        <f aca="false">88.8/1.2*1.05</f>
        <v>77.7</v>
      </c>
      <c r="H135" s="34" t="n">
        <f aca="false">D135*G135</f>
        <v>20590.5</v>
      </c>
      <c r="I135" s="42" t="s">
        <v>510</v>
      </c>
      <c r="J135" s="34" t="n">
        <f aca="false">2000/25/1.2*1.05</f>
        <v>70</v>
      </c>
      <c r="K135" s="34" t="n">
        <f aca="false">D135*J135</f>
        <v>18550</v>
      </c>
      <c r="L135" s="42" t="s">
        <v>511</v>
      </c>
      <c r="M135" s="34" t="n">
        <f aca="false">81/1.2*1.05</f>
        <v>70.88</v>
      </c>
      <c r="N135" s="34" t="n">
        <f aca="false">D135*M135</f>
        <v>18783.2</v>
      </c>
      <c r="O135" s="35" t="n">
        <f aca="false">AVERAGE(G135,J135,M135)</f>
        <v>72.86</v>
      </c>
      <c r="P135" s="36" t="n">
        <f aca="false">E135*100/O135-100</f>
        <v>0</v>
      </c>
      <c r="Q135" s="35" t="n">
        <f aca="false">O135*D135</f>
        <v>19307.9</v>
      </c>
      <c r="R135" s="37"/>
      <c r="T135" s="39" t="n">
        <f aca="false">ROUND(G135*100/O135-100,0)</f>
        <v>7</v>
      </c>
      <c r="U135" s="39" t="n">
        <f aca="false">ROUND(J135*100/O135-100,0)</f>
        <v>-4</v>
      </c>
      <c r="V135" s="39" t="n">
        <f aca="false">ROUND(M135*100/O135-100,0)</f>
        <v>-3</v>
      </c>
    </row>
    <row r="136" s="38" customFormat="true" ht="51" hidden="false" customHeight="true" outlineLevel="0" collapsed="false">
      <c r="A136" s="28" t="n">
        <v>126</v>
      </c>
      <c r="B136" s="57" t="s">
        <v>512</v>
      </c>
      <c r="C136" s="58" t="s">
        <v>143</v>
      </c>
      <c r="D136" s="59" t="n">
        <v>340</v>
      </c>
      <c r="E136" s="32" t="n">
        <f aca="false">O136</f>
        <v>31.81</v>
      </c>
      <c r="F136" s="42" t="s">
        <v>513</v>
      </c>
      <c r="G136" s="34" t="n">
        <f aca="false">34.97/1.2*1.05</f>
        <v>30.6</v>
      </c>
      <c r="H136" s="34" t="n">
        <f aca="false">D136*G136</f>
        <v>10404</v>
      </c>
      <c r="I136" s="42" t="s">
        <v>514</v>
      </c>
      <c r="J136" s="34" t="n">
        <f aca="false">35.1/1.2*1.05</f>
        <v>30.71</v>
      </c>
      <c r="K136" s="34" t="n">
        <f aca="false">D136*J136</f>
        <v>10441.4</v>
      </c>
      <c r="L136" s="42" t="s">
        <v>515</v>
      </c>
      <c r="M136" s="34" t="n">
        <f aca="false">39/1.2*1.05</f>
        <v>34.13</v>
      </c>
      <c r="N136" s="34" t="n">
        <f aca="false">D136*M136</f>
        <v>11604.2</v>
      </c>
      <c r="O136" s="35" t="n">
        <f aca="false">AVERAGE(G136,J136,M136)</f>
        <v>31.81</v>
      </c>
      <c r="P136" s="36" t="n">
        <f aca="false">E136*100/O136-100</f>
        <v>0</v>
      </c>
      <c r="Q136" s="35" t="n">
        <f aca="false">O136*D136</f>
        <v>10815.4</v>
      </c>
      <c r="R136" s="37"/>
      <c r="T136" s="39" t="n">
        <f aca="false">ROUND(G136*100/O136-100,0)</f>
        <v>-4</v>
      </c>
      <c r="U136" s="39" t="n">
        <f aca="false">ROUND(J136*100/O136-100,0)</f>
        <v>-3</v>
      </c>
      <c r="V136" s="39" t="n">
        <f aca="false">ROUND(M136*100/O136-100,0)</f>
        <v>7</v>
      </c>
    </row>
    <row r="137" s="38" customFormat="true" ht="63.75" hidden="false" customHeight="true" outlineLevel="0" collapsed="false">
      <c r="A137" s="28" t="n">
        <v>127</v>
      </c>
      <c r="B137" s="57" t="s">
        <v>516</v>
      </c>
      <c r="C137" s="58" t="s">
        <v>143</v>
      </c>
      <c r="D137" s="59" t="n">
        <v>340</v>
      </c>
      <c r="E137" s="32" t="n">
        <f aca="false">O137</f>
        <v>33.25</v>
      </c>
      <c r="F137" s="42" t="s">
        <v>517</v>
      </c>
      <c r="G137" s="34" t="n">
        <f aca="false">35.5/1.2*1.05</f>
        <v>31.06</v>
      </c>
      <c r="H137" s="34" t="n">
        <f aca="false">D137*G137</f>
        <v>10560.4</v>
      </c>
      <c r="I137" s="42" t="s">
        <v>518</v>
      </c>
      <c r="J137" s="34" t="n">
        <f aca="false">36.5/1.2*1.05</f>
        <v>31.94</v>
      </c>
      <c r="K137" s="34" t="n">
        <f aca="false">D137*J137</f>
        <v>10859.6</v>
      </c>
      <c r="L137" s="42" t="s">
        <v>519</v>
      </c>
      <c r="M137" s="34" t="n">
        <f aca="false">42/1.2*1.05</f>
        <v>36.75</v>
      </c>
      <c r="N137" s="34" t="n">
        <f aca="false">D137*M137</f>
        <v>12495</v>
      </c>
      <c r="O137" s="35" t="n">
        <f aca="false">AVERAGE(G137,J137,M137)</f>
        <v>33.25</v>
      </c>
      <c r="P137" s="36" t="n">
        <f aca="false">E137*100/O137-100</f>
        <v>0</v>
      </c>
      <c r="Q137" s="35" t="n">
        <f aca="false">O137*D137</f>
        <v>11305</v>
      </c>
      <c r="R137" s="37"/>
      <c r="T137" s="39" t="n">
        <f aca="false">ROUND(G137*100/O137-100,0)</f>
        <v>-7</v>
      </c>
      <c r="U137" s="39" t="n">
        <f aca="false">ROUND(J137*100/O137-100,0)</f>
        <v>-4</v>
      </c>
      <c r="V137" s="39" t="n">
        <f aca="false">ROUND(M137*100/O137-100,0)</f>
        <v>11</v>
      </c>
    </row>
    <row r="138" s="38" customFormat="true" ht="63.75" hidden="false" customHeight="true" outlineLevel="0" collapsed="false">
      <c r="A138" s="28" t="n">
        <v>128</v>
      </c>
      <c r="B138" s="57" t="s">
        <v>520</v>
      </c>
      <c r="C138" s="58" t="s">
        <v>143</v>
      </c>
      <c r="D138" s="59" t="n">
        <v>250</v>
      </c>
      <c r="E138" s="32" t="n">
        <f aca="false">O138</f>
        <v>234.44</v>
      </c>
      <c r="F138" s="42" t="s">
        <v>521</v>
      </c>
      <c r="G138" s="34" t="n">
        <f aca="false">260/1.2*1.05</f>
        <v>227.5</v>
      </c>
      <c r="H138" s="34" t="n">
        <f aca="false">D138*G138</f>
        <v>56875</v>
      </c>
      <c r="I138" s="42" t="s">
        <v>522</v>
      </c>
      <c r="J138" s="34" t="n">
        <f aca="false">283.8/1.2*1.05</f>
        <v>248.33</v>
      </c>
      <c r="K138" s="34" t="n">
        <f aca="false">D138*J138</f>
        <v>62082.5</v>
      </c>
      <c r="L138" s="42" t="s">
        <v>523</v>
      </c>
      <c r="M138" s="34" t="n">
        <f aca="false">260/1.2*1.05</f>
        <v>227.5</v>
      </c>
      <c r="N138" s="34" t="n">
        <f aca="false">D138*M138</f>
        <v>56875</v>
      </c>
      <c r="O138" s="35" t="n">
        <f aca="false">AVERAGE(G138,J138,M138)</f>
        <v>234.44</v>
      </c>
      <c r="P138" s="36" t="n">
        <f aca="false">E138*100/O138-100</f>
        <v>0</v>
      </c>
      <c r="Q138" s="35" t="n">
        <f aca="false">O138*D138</f>
        <v>58610</v>
      </c>
      <c r="R138" s="37"/>
      <c r="T138" s="39" t="n">
        <f aca="false">ROUND(G138*100/O138-100,0)</f>
        <v>-3</v>
      </c>
      <c r="U138" s="39" t="n">
        <f aca="false">ROUND(J138*100/O138-100,0)</f>
        <v>6</v>
      </c>
      <c r="V138" s="39" t="n">
        <f aca="false">ROUND(M138*100/O138-100,0)</f>
        <v>-3</v>
      </c>
    </row>
    <row r="139" s="38" customFormat="true" ht="63.75" hidden="false" customHeight="true" outlineLevel="0" collapsed="false">
      <c r="A139" s="28" t="n">
        <v>129</v>
      </c>
      <c r="B139" s="57" t="s">
        <v>524</v>
      </c>
      <c r="C139" s="58" t="s">
        <v>143</v>
      </c>
      <c r="D139" s="59" t="n">
        <v>150</v>
      </c>
      <c r="E139" s="32" t="n">
        <f aca="false">O139</f>
        <v>219.45</v>
      </c>
      <c r="F139" s="42" t="s">
        <v>525</v>
      </c>
      <c r="G139" s="34" t="n">
        <f aca="false">246.4/1.2*1.05</f>
        <v>215.6</v>
      </c>
      <c r="H139" s="34" t="n">
        <f aca="false">D139*G139</f>
        <v>32340</v>
      </c>
      <c r="I139" s="42" t="s">
        <v>526</v>
      </c>
      <c r="J139" s="34" t="n">
        <f aca="false">259/1.2*1.05</f>
        <v>226.63</v>
      </c>
      <c r="K139" s="34" t="n">
        <f aca="false">D139*J139</f>
        <v>33994.5</v>
      </c>
      <c r="L139" s="42" t="s">
        <v>527</v>
      </c>
      <c r="M139" s="34" t="n">
        <f aca="false">247/1.2*1.05</f>
        <v>216.13</v>
      </c>
      <c r="N139" s="34" t="n">
        <f aca="false">D139*M139</f>
        <v>32419.5</v>
      </c>
      <c r="O139" s="35" t="n">
        <f aca="false">AVERAGE(G139,J139,M139)</f>
        <v>219.45</v>
      </c>
      <c r="P139" s="36" t="n">
        <f aca="false">E139*100/O139-100</f>
        <v>0</v>
      </c>
      <c r="Q139" s="35" t="n">
        <f aca="false">O139*D139</f>
        <v>32917.5</v>
      </c>
      <c r="R139" s="37" t="s">
        <v>528</v>
      </c>
      <c r="T139" s="39" t="n">
        <f aca="false">ROUND(G139*100/O139-100,0)</f>
        <v>-2</v>
      </c>
      <c r="U139" s="39" t="n">
        <f aca="false">ROUND(J139*100/O139-100,0)</f>
        <v>3</v>
      </c>
      <c r="V139" s="39" t="n">
        <f aca="false">ROUND(M139*100/O139-100,0)</f>
        <v>-2</v>
      </c>
    </row>
    <row r="140" s="38" customFormat="true" ht="89.25" hidden="false" customHeight="true" outlineLevel="0" collapsed="false">
      <c r="A140" s="28" t="n">
        <v>130</v>
      </c>
      <c r="B140" s="57" t="s">
        <v>529</v>
      </c>
      <c r="C140" s="58" t="s">
        <v>143</v>
      </c>
      <c r="D140" s="59" t="n">
        <v>150</v>
      </c>
      <c r="E140" s="32" t="n">
        <f aca="false">O140</f>
        <v>485.63</v>
      </c>
      <c r="F140" s="42" t="s">
        <v>530</v>
      </c>
      <c r="G140" s="34" t="n">
        <f aca="false">489/1.2*1.05</f>
        <v>427.88</v>
      </c>
      <c r="H140" s="34" t="n">
        <f aca="false">D140*G140</f>
        <v>64182</v>
      </c>
      <c r="I140" s="42" t="s">
        <v>531</v>
      </c>
      <c r="J140" s="34" t="n">
        <f aca="false">600/1.2*1.05</f>
        <v>525</v>
      </c>
      <c r="K140" s="34" t="n">
        <f aca="false">D140*J140</f>
        <v>78750</v>
      </c>
      <c r="L140" s="42" t="s">
        <v>532</v>
      </c>
      <c r="M140" s="34" t="n">
        <f aca="false">576/1.2*1.05</f>
        <v>504</v>
      </c>
      <c r="N140" s="34" t="n">
        <f aca="false">D140*M140</f>
        <v>75600</v>
      </c>
      <c r="O140" s="35" t="n">
        <f aca="false">AVERAGE(G140,J140,M140)</f>
        <v>485.63</v>
      </c>
      <c r="P140" s="36" t="n">
        <f aca="false">E140*100/O140-100</f>
        <v>0</v>
      </c>
      <c r="Q140" s="35" t="n">
        <f aca="false">O140*D140</f>
        <v>72844.5</v>
      </c>
      <c r="R140" s="37"/>
      <c r="T140" s="39" t="n">
        <f aca="false">ROUND(G140*100/O140-100,0)</f>
        <v>-12</v>
      </c>
      <c r="U140" s="39" t="n">
        <f aca="false">ROUND(J140*100/O140-100,0)</f>
        <v>8</v>
      </c>
      <c r="V140" s="39" t="n">
        <f aca="false">ROUND(M140*100/O140-100,0)</f>
        <v>4</v>
      </c>
    </row>
    <row r="141" s="38" customFormat="true" ht="127.5" hidden="false" customHeight="true" outlineLevel="0" collapsed="false">
      <c r="A141" s="28" t="n">
        <v>131</v>
      </c>
      <c r="B141" s="57" t="s">
        <v>533</v>
      </c>
      <c r="C141" s="58" t="s">
        <v>143</v>
      </c>
      <c r="D141" s="59" t="n">
        <v>150</v>
      </c>
      <c r="E141" s="32" t="n">
        <f aca="false">O141</f>
        <v>311.79</v>
      </c>
      <c r="F141" s="42" t="s">
        <v>534</v>
      </c>
      <c r="G141" s="34" t="n">
        <f aca="false">378/1.2*1.05</f>
        <v>330.75</v>
      </c>
      <c r="H141" s="34" t="n">
        <f aca="false">D141*G141</f>
        <v>49612.5</v>
      </c>
      <c r="I141" s="42" t="s">
        <v>535</v>
      </c>
      <c r="J141" s="34" t="n">
        <f aca="false">327/1.2*1.05</f>
        <v>286.13</v>
      </c>
      <c r="K141" s="34" t="n">
        <f aca="false">D141*J141</f>
        <v>42919.5</v>
      </c>
      <c r="L141" s="42" t="s">
        <v>536</v>
      </c>
      <c r="M141" s="34" t="n">
        <f aca="false">364/1.2*1.05</f>
        <v>318.5</v>
      </c>
      <c r="N141" s="34" t="n">
        <f aca="false">D141*M141</f>
        <v>47775</v>
      </c>
      <c r="O141" s="35" t="n">
        <f aca="false">AVERAGE(G141,J141,M141)</f>
        <v>311.79</v>
      </c>
      <c r="P141" s="36" t="n">
        <f aca="false">E141*100/O141-100</f>
        <v>0</v>
      </c>
      <c r="Q141" s="35" t="n">
        <f aca="false">O141*D141</f>
        <v>46768.5</v>
      </c>
      <c r="R141" s="37"/>
      <c r="T141" s="39" t="n">
        <f aca="false">ROUND(G141*100/O141-100,0)</f>
        <v>6</v>
      </c>
      <c r="U141" s="39" t="n">
        <f aca="false">ROUND(J141*100/O141-100,0)</f>
        <v>-8</v>
      </c>
      <c r="V141" s="39" t="n">
        <f aca="false">ROUND(M141*100/O141-100,0)</f>
        <v>2</v>
      </c>
    </row>
    <row r="142" s="38" customFormat="true" ht="165" hidden="false" customHeight="true" outlineLevel="0" collapsed="false">
      <c r="A142" s="28" t="n">
        <v>132</v>
      </c>
      <c r="B142" s="57" t="s">
        <v>537</v>
      </c>
      <c r="C142" s="58" t="s">
        <v>365</v>
      </c>
      <c r="D142" s="59" t="n">
        <v>835</v>
      </c>
      <c r="E142" s="32" t="n">
        <f aca="false">O142</f>
        <v>115.86</v>
      </c>
      <c r="F142" s="33" t="s">
        <v>538</v>
      </c>
      <c r="G142" s="34" t="n">
        <f aca="false">127.98/1.2*1.05</f>
        <v>111.98</v>
      </c>
      <c r="H142" s="34" t="n">
        <f aca="false">D142*G142</f>
        <v>93503.3</v>
      </c>
      <c r="I142" s="33" t="s">
        <v>539</v>
      </c>
      <c r="J142" s="34" t="n">
        <f aca="false">1448/10/1.2*1.05</f>
        <v>126.7</v>
      </c>
      <c r="K142" s="34" t="n">
        <f aca="false">D142*J142</f>
        <v>105794.5</v>
      </c>
      <c r="L142" s="33" t="s">
        <v>540</v>
      </c>
      <c r="M142" s="34" t="n">
        <f aca="false">124.46/1.2*1.05</f>
        <v>108.9</v>
      </c>
      <c r="N142" s="34" t="n">
        <f aca="false">D142*M142</f>
        <v>90931.5</v>
      </c>
      <c r="O142" s="35" t="n">
        <f aca="false">AVERAGE(G142,J142,M142)</f>
        <v>115.86</v>
      </c>
      <c r="P142" s="36" t="n">
        <f aca="false">E142*100/O142-100</f>
        <v>0</v>
      </c>
      <c r="Q142" s="35" t="n">
        <f aca="false">O142*D142</f>
        <v>96743.1</v>
      </c>
      <c r="R142" s="37"/>
      <c r="T142" s="39" t="n">
        <f aca="false">ROUND(G142*100/O142-100,0)</f>
        <v>-3</v>
      </c>
      <c r="U142" s="39" t="n">
        <f aca="false">ROUND(J142*100/O142-100,0)</f>
        <v>9</v>
      </c>
      <c r="V142" s="39" t="n">
        <f aca="false">ROUND(M142*100/O142-100,0)</f>
        <v>-6</v>
      </c>
    </row>
    <row r="143" s="38" customFormat="true" ht="89.25" hidden="false" customHeight="true" outlineLevel="0" collapsed="false">
      <c r="A143" s="28" t="n">
        <v>133</v>
      </c>
      <c r="B143" s="57" t="s">
        <v>541</v>
      </c>
      <c r="C143" s="58" t="s">
        <v>143</v>
      </c>
      <c r="D143" s="59" t="n">
        <v>30</v>
      </c>
      <c r="E143" s="32" t="n">
        <f aca="false">O143</f>
        <v>2270.33</v>
      </c>
      <c r="F143" s="42" t="s">
        <v>542</v>
      </c>
      <c r="G143" s="34" t="n">
        <f aca="false">2550/1.2*1.05</f>
        <v>2231.25</v>
      </c>
      <c r="H143" s="34" t="n">
        <f aca="false">D143*G143</f>
        <v>66937.5</v>
      </c>
      <c r="I143" s="42" t="s">
        <v>543</v>
      </c>
      <c r="J143" s="34" t="n">
        <f aca="false">2684/1.2*1.05</f>
        <v>2348.5</v>
      </c>
      <c r="K143" s="34" t="n">
        <f aca="false">D143*J143</f>
        <v>70455</v>
      </c>
      <c r="L143" s="42" t="s">
        <v>544</v>
      </c>
      <c r="M143" s="34" t="n">
        <f aca="false">2550/1.2*1.05</f>
        <v>2231.25</v>
      </c>
      <c r="N143" s="34" t="n">
        <f aca="false">D143*M143</f>
        <v>66937.5</v>
      </c>
      <c r="O143" s="35" t="n">
        <f aca="false">AVERAGE(G143,J143,M143)</f>
        <v>2270.33</v>
      </c>
      <c r="P143" s="36" t="n">
        <f aca="false">E143*100/O143-100</f>
        <v>0</v>
      </c>
      <c r="Q143" s="35" t="n">
        <f aca="false">O143*D143</f>
        <v>68109.9</v>
      </c>
      <c r="R143" s="37"/>
      <c r="T143" s="39" t="n">
        <f aca="false">ROUND(G143*100/O143-100,0)</f>
        <v>-2</v>
      </c>
      <c r="U143" s="39" t="n">
        <f aca="false">ROUND(J143*100/O143-100,0)</f>
        <v>3</v>
      </c>
      <c r="V143" s="39" t="n">
        <f aca="false">ROUND(M143*100/O143-100,0)</f>
        <v>-2</v>
      </c>
    </row>
    <row r="144" s="38" customFormat="true" ht="306" hidden="false" customHeight="true" outlineLevel="0" collapsed="false">
      <c r="A144" s="28" t="n">
        <v>134</v>
      </c>
      <c r="B144" s="57" t="s">
        <v>545</v>
      </c>
      <c r="C144" s="58" t="s">
        <v>143</v>
      </c>
      <c r="D144" s="59" t="n">
        <v>40</v>
      </c>
      <c r="E144" s="32" t="n">
        <f aca="false">O144</f>
        <v>1308.13</v>
      </c>
      <c r="F144" s="42" t="s">
        <v>546</v>
      </c>
      <c r="G144" s="34" t="n">
        <f aca="false">1632/1.2*1.05</f>
        <v>1428</v>
      </c>
      <c r="H144" s="34" t="n">
        <f aca="false">D144*G144</f>
        <v>57120</v>
      </c>
      <c r="I144" s="42" t="s">
        <v>547</v>
      </c>
      <c r="J144" s="34" t="n">
        <f aca="false">1553/1.2*1.05</f>
        <v>1358.88</v>
      </c>
      <c r="K144" s="34" t="n">
        <f aca="false">D144*J144</f>
        <v>54355.2</v>
      </c>
      <c r="L144" s="42" t="s">
        <v>548</v>
      </c>
      <c r="M144" s="34" t="n">
        <f aca="false">1300/1.2*1.05</f>
        <v>1137.5</v>
      </c>
      <c r="N144" s="34" t="n">
        <f aca="false">D144*M144</f>
        <v>45500</v>
      </c>
      <c r="O144" s="35" t="n">
        <f aca="false">AVERAGE(G144,J144,M144)</f>
        <v>1308.13</v>
      </c>
      <c r="P144" s="36" t="n">
        <f aca="false">E144*100/O144-100</f>
        <v>0</v>
      </c>
      <c r="Q144" s="35" t="n">
        <f aca="false">O144*D144</f>
        <v>52325.2</v>
      </c>
      <c r="R144" s="37"/>
      <c r="T144" s="39" t="n">
        <f aca="false">ROUND(G144*100/O144-100,0)</f>
        <v>9</v>
      </c>
      <c r="U144" s="39" t="n">
        <f aca="false">ROUND(J144*100/O144-100,0)</f>
        <v>4</v>
      </c>
      <c r="V144" s="39" t="n">
        <f aca="false">ROUND(M144*100/O144-100,0)</f>
        <v>-13</v>
      </c>
    </row>
    <row r="145" s="38" customFormat="true" ht="63.75" hidden="false" customHeight="true" outlineLevel="0" collapsed="false">
      <c r="A145" s="28" t="n">
        <v>135</v>
      </c>
      <c r="B145" s="57" t="s">
        <v>549</v>
      </c>
      <c r="C145" s="58" t="s">
        <v>143</v>
      </c>
      <c r="D145" s="59" t="n">
        <v>10</v>
      </c>
      <c r="E145" s="32" t="n">
        <f aca="false">O145</f>
        <v>10350.09</v>
      </c>
      <c r="F145" s="42" t="s">
        <v>550</v>
      </c>
      <c r="G145" s="34" t="n">
        <f aca="false">12029/1.2*1.05</f>
        <v>10525.38</v>
      </c>
      <c r="H145" s="34" t="n">
        <f aca="false">D145*G145</f>
        <v>105253.8</v>
      </c>
      <c r="I145" s="42" t="s">
        <v>551</v>
      </c>
      <c r="J145" s="34" t="n">
        <f aca="false">12029/1.2*1.05</f>
        <v>10525.38</v>
      </c>
      <c r="K145" s="34" t="n">
        <f aca="false">D145*J145</f>
        <v>105253.8</v>
      </c>
      <c r="L145" s="42" t="s">
        <v>552</v>
      </c>
      <c r="M145" s="34" t="n">
        <f aca="false">11428/1.2*1.05</f>
        <v>9999.5</v>
      </c>
      <c r="N145" s="34" t="n">
        <f aca="false">D145*M145</f>
        <v>99995</v>
      </c>
      <c r="O145" s="35" t="n">
        <f aca="false">AVERAGE(G145,J145,M145)</f>
        <v>10350.09</v>
      </c>
      <c r="P145" s="36" t="n">
        <f aca="false">E145*100/O145-100</f>
        <v>0</v>
      </c>
      <c r="Q145" s="35" t="n">
        <f aca="false">O145*D145</f>
        <v>103500.9</v>
      </c>
      <c r="R145" s="37"/>
      <c r="T145" s="39" t="n">
        <f aca="false">ROUND(G145*100/O145-100,0)</f>
        <v>2</v>
      </c>
      <c r="U145" s="39" t="n">
        <f aca="false">ROUND(J145*100/O145-100,0)</f>
        <v>2</v>
      </c>
      <c r="V145" s="39" t="n">
        <f aca="false">ROUND(M145*100/O145-100,0)</f>
        <v>-3</v>
      </c>
    </row>
    <row r="146" s="38" customFormat="true" ht="63.75" hidden="false" customHeight="true" outlineLevel="0" collapsed="false">
      <c r="A146" s="28" t="n">
        <v>136</v>
      </c>
      <c r="B146" s="57" t="s">
        <v>553</v>
      </c>
      <c r="C146" s="58" t="s">
        <v>143</v>
      </c>
      <c r="D146" s="59" t="n">
        <v>5</v>
      </c>
      <c r="E146" s="32" t="n">
        <f aca="false">O146</f>
        <v>2519.42</v>
      </c>
      <c r="F146" s="42" t="s">
        <v>554</v>
      </c>
      <c r="G146" s="34" t="n">
        <f aca="false">2825/1.2*1.05</f>
        <v>2471.88</v>
      </c>
      <c r="H146" s="34" t="n">
        <f aca="false">D146*G146</f>
        <v>12359.4</v>
      </c>
      <c r="I146" s="42" t="s">
        <v>555</v>
      </c>
      <c r="J146" s="34" t="n">
        <f aca="false">2823/1.2*1.05</f>
        <v>2470.13</v>
      </c>
      <c r="K146" s="34" t="n">
        <f aca="false">D146*J146</f>
        <v>12350.65</v>
      </c>
      <c r="L146" s="42" t="s">
        <v>556</v>
      </c>
      <c r="M146" s="34" t="n">
        <f aca="false">2990/1.2*1.05</f>
        <v>2616.25</v>
      </c>
      <c r="N146" s="34" t="n">
        <f aca="false">D146*M146</f>
        <v>13081.25</v>
      </c>
      <c r="O146" s="35" t="n">
        <f aca="false">AVERAGE(G146,J146,M146)</f>
        <v>2519.42</v>
      </c>
      <c r="P146" s="36" t="n">
        <f aca="false">E146*100/O146-100</f>
        <v>0</v>
      </c>
      <c r="Q146" s="35" t="n">
        <f aca="false">O146*D146</f>
        <v>12597.1</v>
      </c>
      <c r="R146" s="37"/>
      <c r="T146" s="39" t="n">
        <f aca="false">ROUND(G146*100/O146-100,0)</f>
        <v>-2</v>
      </c>
      <c r="U146" s="39" t="n">
        <f aca="false">ROUND(J146*100/O146-100,0)</f>
        <v>-2</v>
      </c>
      <c r="V146" s="39" t="n">
        <f aca="false">ROUND(M146*100/O146-100,0)</f>
        <v>4</v>
      </c>
    </row>
    <row r="147" s="38" customFormat="true" ht="76.5" hidden="false" customHeight="true" outlineLevel="0" collapsed="false">
      <c r="A147" s="28" t="n">
        <v>137</v>
      </c>
      <c r="B147" s="57" t="s">
        <v>557</v>
      </c>
      <c r="C147" s="58" t="s">
        <v>143</v>
      </c>
      <c r="D147" s="59" t="n">
        <v>15</v>
      </c>
      <c r="E147" s="32" t="n">
        <f aca="false">O147</f>
        <v>4404.46</v>
      </c>
      <c r="F147" s="46" t="s">
        <v>558</v>
      </c>
      <c r="G147" s="34" t="n">
        <f aca="false">4982/1.2*1.05</f>
        <v>4359.25</v>
      </c>
      <c r="H147" s="34" t="n">
        <f aca="false">D147*G147</f>
        <v>65388.75</v>
      </c>
      <c r="I147" s="42" t="s">
        <v>559</v>
      </c>
      <c r="J147" s="34" t="n">
        <f aca="false">5125/1.2*1.05</f>
        <v>4484.38</v>
      </c>
      <c r="K147" s="34" t="n">
        <f aca="false">D147*J147</f>
        <v>67265.7</v>
      </c>
      <c r="L147" s="42" t="s">
        <v>560</v>
      </c>
      <c r="M147" s="34" t="n">
        <f aca="false">4994/1.2*1.05</f>
        <v>4369.75</v>
      </c>
      <c r="N147" s="34" t="n">
        <f aca="false">D147*M147</f>
        <v>65546.25</v>
      </c>
      <c r="O147" s="35" t="n">
        <f aca="false">AVERAGE(G147,J147,M147)</f>
        <v>4404.46</v>
      </c>
      <c r="P147" s="36" t="n">
        <f aca="false">E147*100/O147-100</f>
        <v>0</v>
      </c>
      <c r="Q147" s="35" t="n">
        <f aca="false">O147*D147</f>
        <v>66066.9</v>
      </c>
      <c r="R147" s="37"/>
      <c r="T147" s="39" t="n">
        <f aca="false">ROUND(G147*100/O147-100,0)</f>
        <v>-1</v>
      </c>
      <c r="U147" s="39" t="n">
        <f aca="false">ROUND(J147*100/O147-100,0)</f>
        <v>2</v>
      </c>
      <c r="V147" s="39" t="n">
        <f aca="false">ROUND(M147*100/O147-100,0)</f>
        <v>-1</v>
      </c>
    </row>
    <row r="148" s="38" customFormat="true" ht="114.75" hidden="false" customHeight="true" outlineLevel="0" collapsed="false">
      <c r="A148" s="28" t="n">
        <v>138</v>
      </c>
      <c r="B148" s="57" t="s">
        <v>561</v>
      </c>
      <c r="C148" s="58" t="s">
        <v>143</v>
      </c>
      <c r="D148" s="59" t="n">
        <v>5</v>
      </c>
      <c r="E148" s="32" t="n">
        <f aca="false">O148</f>
        <v>1546.13</v>
      </c>
      <c r="F148" s="42" t="s">
        <v>562</v>
      </c>
      <c r="G148" s="34" t="n">
        <f aca="false">1990/1.2*1.05</f>
        <v>1741.25</v>
      </c>
      <c r="H148" s="34" t="n">
        <f aca="false">D148*G148</f>
        <v>8706.25</v>
      </c>
      <c r="I148" s="42" t="s">
        <v>563</v>
      </c>
      <c r="J148" s="34" t="n">
        <f aca="false">1650/1.2*1.05</f>
        <v>1443.75</v>
      </c>
      <c r="K148" s="34" t="n">
        <f aca="false">D148*J148</f>
        <v>7218.75</v>
      </c>
      <c r="L148" s="42" t="s">
        <v>564</v>
      </c>
      <c r="M148" s="34" t="n">
        <f aca="false">1661/1.2*1.05</f>
        <v>1453.38</v>
      </c>
      <c r="N148" s="34" t="n">
        <f aca="false">D148*M148</f>
        <v>7266.9</v>
      </c>
      <c r="O148" s="35" t="n">
        <f aca="false">AVERAGE(G148,J148,M148)</f>
        <v>1546.13</v>
      </c>
      <c r="P148" s="36" t="n">
        <f aca="false">E148*100/O148-100</f>
        <v>0</v>
      </c>
      <c r="Q148" s="35" t="n">
        <f aca="false">O148*D148</f>
        <v>7730.65</v>
      </c>
      <c r="R148" s="37"/>
      <c r="T148" s="39" t="n">
        <f aca="false">ROUND(G148*100/O148-100,0)</f>
        <v>13</v>
      </c>
      <c r="U148" s="39" t="n">
        <f aca="false">ROUND(J148*100/O148-100,0)</f>
        <v>-7</v>
      </c>
      <c r="V148" s="39" t="n">
        <f aca="false">ROUND(M148*100/O148-100,0)</f>
        <v>-6</v>
      </c>
    </row>
    <row r="149" s="38" customFormat="true" ht="89.25" hidden="false" customHeight="true" outlineLevel="0" collapsed="false">
      <c r="A149" s="28" t="n">
        <v>139</v>
      </c>
      <c r="B149" s="57" t="s">
        <v>565</v>
      </c>
      <c r="C149" s="58" t="s">
        <v>143</v>
      </c>
      <c r="D149" s="59" t="n">
        <v>1000</v>
      </c>
      <c r="E149" s="32" t="n">
        <f aca="false">O149</f>
        <v>1.85</v>
      </c>
      <c r="F149" s="42" t="s">
        <v>566</v>
      </c>
      <c r="G149" s="34" t="n">
        <f aca="false">419/200/1.2*1.05</f>
        <v>1.83</v>
      </c>
      <c r="H149" s="34" t="n">
        <f aca="false">D149*G149</f>
        <v>1830</v>
      </c>
      <c r="I149" s="42" t="s">
        <v>567</v>
      </c>
      <c r="J149" s="34" t="n">
        <f aca="false">2.21/1.2*1.05</f>
        <v>1.93</v>
      </c>
      <c r="K149" s="34" t="n">
        <f aca="false">D149*J149</f>
        <v>1930</v>
      </c>
      <c r="L149" s="42" t="s">
        <v>568</v>
      </c>
      <c r="M149" s="34" t="n">
        <f aca="false">2.06/1.2*1.05</f>
        <v>1.8</v>
      </c>
      <c r="N149" s="34" t="n">
        <f aca="false">D149*M149</f>
        <v>1800</v>
      </c>
      <c r="O149" s="35" t="n">
        <f aca="false">AVERAGE(G149,J149,M149)</f>
        <v>1.85</v>
      </c>
      <c r="P149" s="36" t="n">
        <f aca="false">E149*100/O149-100</f>
        <v>0</v>
      </c>
      <c r="Q149" s="35" t="n">
        <f aca="false">O149*D149</f>
        <v>1850</v>
      </c>
      <c r="R149" s="37"/>
      <c r="T149" s="39" t="n">
        <f aca="false">ROUND(G149*100/O149-100,0)</f>
        <v>-1</v>
      </c>
      <c r="U149" s="39" t="n">
        <f aca="false">ROUND(J149*100/O149-100,0)</f>
        <v>4</v>
      </c>
      <c r="V149" s="39" t="n">
        <f aca="false">ROUND(M149*100/O149-100,0)</f>
        <v>-3</v>
      </c>
    </row>
    <row r="150" s="38" customFormat="true" ht="409.5" hidden="false" customHeight="true" outlineLevel="0" collapsed="false">
      <c r="A150" s="28" t="n">
        <v>140</v>
      </c>
      <c r="B150" s="57" t="s">
        <v>569</v>
      </c>
      <c r="C150" s="58" t="s">
        <v>143</v>
      </c>
      <c r="D150" s="59" t="n">
        <v>1000</v>
      </c>
      <c r="E150" s="32" t="n">
        <f aca="false">O150</f>
        <v>2.63</v>
      </c>
      <c r="F150" s="42" t="s">
        <v>570</v>
      </c>
      <c r="G150" s="34" t="n">
        <f aca="false">60/20/1.2*1.05</f>
        <v>2.63</v>
      </c>
      <c r="H150" s="34" t="n">
        <f aca="false">D150*G150</f>
        <v>2630</v>
      </c>
      <c r="I150" s="42" t="s">
        <v>571</v>
      </c>
      <c r="J150" s="34" t="n">
        <f aca="false">3/1.2*1.05</f>
        <v>2.63</v>
      </c>
      <c r="K150" s="34" t="n">
        <f aca="false">D150*J150</f>
        <v>2630</v>
      </c>
      <c r="L150" s="42" t="s">
        <v>572</v>
      </c>
      <c r="M150" s="34" t="n">
        <f aca="false">60/20/1.2*1.05</f>
        <v>2.63</v>
      </c>
      <c r="N150" s="34" t="n">
        <f aca="false">D150*M150</f>
        <v>2630</v>
      </c>
      <c r="O150" s="35" t="n">
        <f aca="false">AVERAGE(G150,J150,M150)</f>
        <v>2.63</v>
      </c>
      <c r="P150" s="36" t="n">
        <f aca="false">E150*100/O150-100</f>
        <v>0</v>
      </c>
      <c r="Q150" s="35" t="n">
        <f aca="false">O150*D150</f>
        <v>2630</v>
      </c>
      <c r="R150" s="37"/>
      <c r="T150" s="39" t="n">
        <f aca="false">ROUND(G150*100/O150-100,0)</f>
        <v>0</v>
      </c>
      <c r="U150" s="39" t="n">
        <f aca="false">ROUND(J150*100/O150-100,0)</f>
        <v>0</v>
      </c>
      <c r="V150" s="39" t="n">
        <f aca="false">ROUND(M150*100/O150-100,0)</f>
        <v>0</v>
      </c>
    </row>
    <row r="151" s="38" customFormat="true" ht="89.25" hidden="false" customHeight="true" outlineLevel="0" collapsed="false">
      <c r="A151" s="28" t="n">
        <v>141</v>
      </c>
      <c r="B151" s="57" t="s">
        <v>573</v>
      </c>
      <c r="C151" s="58" t="s">
        <v>143</v>
      </c>
      <c r="D151" s="59" t="n">
        <v>250</v>
      </c>
      <c r="E151" s="32" t="n">
        <f aca="false">O151</f>
        <v>1.36</v>
      </c>
      <c r="F151" s="42" t="s">
        <v>574</v>
      </c>
      <c r="G151" s="34" t="n">
        <f aca="false">173/120/1.2*1.05</f>
        <v>1.26</v>
      </c>
      <c r="H151" s="34" t="n">
        <f aca="false">D151*G151</f>
        <v>315</v>
      </c>
      <c r="I151" s="42" t="s">
        <v>575</v>
      </c>
      <c r="J151" s="34" t="n">
        <f aca="false">213/120/1.2*1.05</f>
        <v>1.55</v>
      </c>
      <c r="K151" s="34" t="n">
        <f aca="false">D151*J151</f>
        <v>387.5</v>
      </c>
      <c r="L151" s="42" t="s">
        <v>576</v>
      </c>
      <c r="M151" s="34" t="n">
        <f aca="false">173/120/1.2*1.05</f>
        <v>1.26</v>
      </c>
      <c r="N151" s="34" t="n">
        <f aca="false">D151*M151</f>
        <v>315</v>
      </c>
      <c r="O151" s="35" t="n">
        <f aca="false">AVERAGE(G151,J151,M151)</f>
        <v>1.36</v>
      </c>
      <c r="P151" s="36" t="n">
        <f aca="false">E151*100/O151-100</f>
        <v>0</v>
      </c>
      <c r="Q151" s="35" t="n">
        <f aca="false">O151*D151</f>
        <v>340</v>
      </c>
      <c r="R151" s="37"/>
      <c r="T151" s="39" t="n">
        <f aca="false">ROUND(G151*100/O151-100,0)</f>
        <v>-7</v>
      </c>
      <c r="U151" s="39" t="n">
        <f aca="false">ROUND(J151*100/O151-100,0)</f>
        <v>14</v>
      </c>
      <c r="V151" s="39" t="n">
        <f aca="false">ROUND(M151*100/O151-100,0)</f>
        <v>-7</v>
      </c>
    </row>
    <row r="152" s="38" customFormat="true" ht="76.5" hidden="false" customHeight="true" outlineLevel="0" collapsed="false">
      <c r="A152" s="28" t="n">
        <v>142</v>
      </c>
      <c r="B152" s="57" t="s">
        <v>577</v>
      </c>
      <c r="C152" s="58" t="s">
        <v>143</v>
      </c>
      <c r="D152" s="59" t="n">
        <v>10</v>
      </c>
      <c r="E152" s="32" t="n">
        <f aca="false">O152</f>
        <v>2406.66</v>
      </c>
      <c r="F152" s="42" t="s">
        <v>578</v>
      </c>
      <c r="G152" s="34" t="n">
        <f aca="false">2651/1.2*1.05</f>
        <v>2319.63</v>
      </c>
      <c r="H152" s="34" t="n">
        <f aca="false">D152*G152</f>
        <v>23196.3</v>
      </c>
      <c r="I152" s="42" t="s">
        <v>579</v>
      </c>
      <c r="J152" s="34" t="n">
        <f aca="false">2985/1.2*1.05</f>
        <v>2611.88</v>
      </c>
      <c r="K152" s="34" t="n">
        <f aca="false">D152*J152</f>
        <v>26118.8</v>
      </c>
      <c r="L152" s="42" t="s">
        <v>580</v>
      </c>
      <c r="M152" s="34" t="n">
        <f aca="false">2615.38/1.2*1.05</f>
        <v>2288.46</v>
      </c>
      <c r="N152" s="34" t="n">
        <f aca="false">D152*M152</f>
        <v>22884.6</v>
      </c>
      <c r="O152" s="35" t="n">
        <f aca="false">AVERAGE(G152,J152,M152)</f>
        <v>2406.66</v>
      </c>
      <c r="P152" s="36" t="n">
        <f aca="false">E152*100/O152-100</f>
        <v>0</v>
      </c>
      <c r="Q152" s="35" t="n">
        <f aca="false">O152*D152</f>
        <v>24066.6</v>
      </c>
      <c r="R152" s="37"/>
      <c r="T152" s="39" t="n">
        <f aca="false">ROUND(G152*100/O152-100,0)</f>
        <v>-4</v>
      </c>
      <c r="U152" s="39" t="n">
        <f aca="false">ROUND(J152*100/O152-100,0)</f>
        <v>9</v>
      </c>
      <c r="V152" s="39" t="n">
        <f aca="false">ROUND(M152*100/O152-100,0)</f>
        <v>-5</v>
      </c>
    </row>
    <row r="153" s="38" customFormat="true" ht="75" hidden="false" customHeight="true" outlineLevel="0" collapsed="false">
      <c r="A153" s="28" t="n">
        <v>143</v>
      </c>
      <c r="B153" s="57" t="s">
        <v>581</v>
      </c>
      <c r="C153" s="58" t="s">
        <v>143</v>
      </c>
      <c r="D153" s="59" t="n">
        <v>10</v>
      </c>
      <c r="E153" s="32" t="n">
        <f aca="false">O153</f>
        <v>14218.75</v>
      </c>
      <c r="F153" s="33" t="s">
        <v>582</v>
      </c>
      <c r="G153" s="34" t="n">
        <f aca="false">16750/1.2*1.05</f>
        <v>14656.25</v>
      </c>
      <c r="H153" s="34" t="n">
        <f aca="false">D153*G153</f>
        <v>146562.5</v>
      </c>
      <c r="I153" s="33" t="s">
        <v>583</v>
      </c>
      <c r="J153" s="34" t="n">
        <f aca="false">16000/1.2*1.05</f>
        <v>14000</v>
      </c>
      <c r="K153" s="34" t="n">
        <f aca="false">D153*J153</f>
        <v>140000</v>
      </c>
      <c r="L153" s="33" t="s">
        <v>584</v>
      </c>
      <c r="M153" s="34" t="n">
        <f aca="false">16000/1.2*1.05</f>
        <v>14000</v>
      </c>
      <c r="N153" s="34" t="n">
        <f aca="false">D153*M153</f>
        <v>140000</v>
      </c>
      <c r="O153" s="35" t="n">
        <f aca="false">AVERAGE(G153,J153,M153)</f>
        <v>14218.75</v>
      </c>
      <c r="P153" s="36" t="n">
        <f aca="false">E153*100/O153-100</f>
        <v>0</v>
      </c>
      <c r="Q153" s="35" t="n">
        <f aca="false">O153*D153</f>
        <v>142187.5</v>
      </c>
      <c r="R153" s="37"/>
      <c r="T153" s="39" t="n">
        <f aca="false">ROUND(G153*100/O153-100,0)</f>
        <v>3</v>
      </c>
      <c r="U153" s="39" t="n">
        <f aca="false">ROUND(J153*100/O153-100,0)</f>
        <v>-2</v>
      </c>
      <c r="V153" s="39" t="n">
        <f aca="false">ROUND(M153*100/O153-100,0)</f>
        <v>-2</v>
      </c>
    </row>
    <row r="154" s="38" customFormat="true" ht="63.75" hidden="false" customHeight="true" outlineLevel="0" collapsed="false">
      <c r="A154" s="28" t="n">
        <v>144</v>
      </c>
      <c r="B154" s="60" t="s">
        <v>585</v>
      </c>
      <c r="C154" s="58" t="s">
        <v>143</v>
      </c>
      <c r="D154" s="59" t="n">
        <v>225</v>
      </c>
      <c r="E154" s="32" t="n">
        <f aca="false">O154</f>
        <v>242.67</v>
      </c>
      <c r="F154" s="42" t="s">
        <v>586</v>
      </c>
      <c r="G154" s="34" t="n">
        <f aca="false">269/1.2*1.05</f>
        <v>235.38</v>
      </c>
      <c r="H154" s="34" t="n">
        <f aca="false">D154*G154</f>
        <v>52960.5</v>
      </c>
      <c r="I154" s="42" t="s">
        <v>587</v>
      </c>
      <c r="J154" s="34" t="n">
        <f aca="false">269/1.2*1.05</f>
        <v>235.38</v>
      </c>
      <c r="K154" s="34" t="n">
        <f aca="false">D154*J154</f>
        <v>52960.5</v>
      </c>
      <c r="L154" s="42" t="s">
        <v>588</v>
      </c>
      <c r="M154" s="34" t="n">
        <f aca="false">294/1.2*1.05</f>
        <v>257.25</v>
      </c>
      <c r="N154" s="34" t="n">
        <f aca="false">D154*M154</f>
        <v>57881.25</v>
      </c>
      <c r="O154" s="35" t="n">
        <f aca="false">AVERAGE(G154,J154,M154)</f>
        <v>242.67</v>
      </c>
      <c r="P154" s="36" t="n">
        <f aca="false">E154*100/O154-100</f>
        <v>0</v>
      </c>
      <c r="Q154" s="35" t="n">
        <f aca="false">O154*D154</f>
        <v>54600.75</v>
      </c>
      <c r="R154" s="37"/>
      <c r="T154" s="39" t="n">
        <f aca="false">ROUND(G154*100/O154-100,0)</f>
        <v>-3</v>
      </c>
      <c r="U154" s="39" t="n">
        <f aca="false">ROUND(J154*100/O154-100,0)</f>
        <v>-3</v>
      </c>
      <c r="V154" s="39" t="n">
        <f aca="false">ROUND(M154*100/O154-100,0)</f>
        <v>6</v>
      </c>
    </row>
    <row r="155" s="38" customFormat="true" ht="76.5" hidden="false" customHeight="true" outlineLevel="0" collapsed="false">
      <c r="A155" s="28" t="n">
        <v>145</v>
      </c>
      <c r="B155" s="57" t="s">
        <v>589</v>
      </c>
      <c r="C155" s="58" t="s">
        <v>143</v>
      </c>
      <c r="D155" s="59" t="n">
        <v>650</v>
      </c>
      <c r="E155" s="32" t="n">
        <f aca="false">O155</f>
        <v>131.55</v>
      </c>
      <c r="F155" s="42" t="s">
        <v>590</v>
      </c>
      <c r="G155" s="34" t="n">
        <f aca="false">159/1.2*1.05</f>
        <v>139.13</v>
      </c>
      <c r="H155" s="34" t="n">
        <f aca="false">D155*G155</f>
        <v>90434.5</v>
      </c>
      <c r="I155" s="42" t="s">
        <v>591</v>
      </c>
      <c r="J155" s="34" t="n">
        <f aca="false">135/1.2*1.05</f>
        <v>118.13</v>
      </c>
      <c r="K155" s="34" t="n">
        <f aca="false">D155*J155</f>
        <v>76784.5</v>
      </c>
      <c r="L155" s="42" t="s">
        <v>592</v>
      </c>
      <c r="M155" s="34" t="n">
        <f aca="false">157/1.2*1.05</f>
        <v>137.38</v>
      </c>
      <c r="N155" s="34" t="n">
        <f aca="false">D155*M155</f>
        <v>89297</v>
      </c>
      <c r="O155" s="35" t="n">
        <f aca="false">AVERAGE(G155,J155,M155)</f>
        <v>131.55</v>
      </c>
      <c r="P155" s="36" t="n">
        <f aca="false">E155*100/O155-100</f>
        <v>0</v>
      </c>
      <c r="Q155" s="35" t="n">
        <f aca="false">O155*D155</f>
        <v>85507.5</v>
      </c>
      <c r="R155" s="37"/>
      <c r="T155" s="39" t="n">
        <f aca="false">ROUND(G155*100/O155-100,0)</f>
        <v>6</v>
      </c>
      <c r="U155" s="39" t="n">
        <f aca="false">ROUND(J155*100/O155-100,0)</f>
        <v>-10</v>
      </c>
      <c r="V155" s="39" t="n">
        <f aca="false">ROUND(M155*100/O155-100,0)</f>
        <v>4</v>
      </c>
    </row>
    <row r="156" s="38" customFormat="true" ht="76.5" hidden="false" customHeight="true" outlineLevel="0" collapsed="false">
      <c r="A156" s="28" t="n">
        <v>146</v>
      </c>
      <c r="B156" s="57" t="s">
        <v>593</v>
      </c>
      <c r="C156" s="58" t="s">
        <v>143</v>
      </c>
      <c r="D156" s="59" t="n">
        <v>110</v>
      </c>
      <c r="E156" s="32" t="n">
        <f aca="false">O156</f>
        <v>425.84</v>
      </c>
      <c r="F156" s="42" t="s">
        <v>594</v>
      </c>
      <c r="G156" s="34" t="n">
        <f aca="false">486/1.2*1.05</f>
        <v>425.25</v>
      </c>
      <c r="H156" s="34" t="n">
        <f aca="false">D156*G156</f>
        <v>46777.5</v>
      </c>
      <c r="I156" s="42" t="s">
        <v>595</v>
      </c>
      <c r="J156" s="34" t="n">
        <f aca="false">499/1.2*1.05</f>
        <v>436.63</v>
      </c>
      <c r="K156" s="34" t="n">
        <f aca="false">D156*J156</f>
        <v>48029.3</v>
      </c>
      <c r="L156" s="42" t="s">
        <v>596</v>
      </c>
      <c r="M156" s="34" t="n">
        <f aca="false">475/1.2*1.05</f>
        <v>415.63</v>
      </c>
      <c r="N156" s="34" t="n">
        <f aca="false">D156*M156</f>
        <v>45719.3</v>
      </c>
      <c r="O156" s="35" t="n">
        <f aca="false">AVERAGE(G156,J156,M156)</f>
        <v>425.84</v>
      </c>
      <c r="P156" s="36" t="n">
        <f aca="false">E156*100/O156-100</f>
        <v>0</v>
      </c>
      <c r="Q156" s="35" t="n">
        <f aca="false">O156*D156</f>
        <v>46842.4</v>
      </c>
      <c r="R156" s="37"/>
      <c r="T156" s="39" t="n">
        <f aca="false">ROUND(G156*100/O156-100,0)</f>
        <v>-0</v>
      </c>
      <c r="U156" s="39" t="n">
        <f aca="false">ROUND(J156*100/O156-100,0)</f>
        <v>3</v>
      </c>
      <c r="V156" s="39" t="n">
        <f aca="false">ROUND(M156*100/O156-100,0)</f>
        <v>-2</v>
      </c>
    </row>
    <row r="157" s="38" customFormat="true" ht="63.75" hidden="false" customHeight="true" outlineLevel="0" collapsed="false">
      <c r="A157" s="28" t="n">
        <v>147</v>
      </c>
      <c r="B157" s="57" t="s">
        <v>597</v>
      </c>
      <c r="C157" s="58" t="s">
        <v>143</v>
      </c>
      <c r="D157" s="59" t="n">
        <v>500</v>
      </c>
      <c r="E157" s="32" t="n">
        <f aca="false">O157</f>
        <v>211.75</v>
      </c>
      <c r="F157" s="42" t="s">
        <v>598</v>
      </c>
      <c r="G157" s="34" t="n">
        <f aca="false">242/1.2*1.05</f>
        <v>211.75</v>
      </c>
      <c r="H157" s="34" t="n">
        <f aca="false">D157*G157</f>
        <v>105875</v>
      </c>
      <c r="I157" s="42" t="s">
        <v>599</v>
      </c>
      <c r="J157" s="34" t="n">
        <f aca="false">242/1.2*1.05</f>
        <v>211.75</v>
      </c>
      <c r="K157" s="34" t="n">
        <f aca="false">D157*J157</f>
        <v>105875</v>
      </c>
      <c r="L157" s="42" t="s">
        <v>600</v>
      </c>
      <c r="M157" s="34" t="n">
        <f aca="false">242/1.2*1.05</f>
        <v>211.75</v>
      </c>
      <c r="N157" s="34" t="n">
        <f aca="false">D157*M157</f>
        <v>105875</v>
      </c>
      <c r="O157" s="35" t="n">
        <f aca="false">AVERAGE(G157,J157,M157)</f>
        <v>211.75</v>
      </c>
      <c r="P157" s="36" t="n">
        <f aca="false">E157*100/O157-100</f>
        <v>0</v>
      </c>
      <c r="Q157" s="35" t="n">
        <f aca="false">O157*D157</f>
        <v>105875</v>
      </c>
      <c r="R157" s="37"/>
      <c r="T157" s="39" t="n">
        <f aca="false">ROUND(G157*100/O157-100,0)</f>
        <v>0</v>
      </c>
      <c r="U157" s="39" t="n">
        <f aca="false">ROUND(J157*100/O157-100,0)</f>
        <v>0</v>
      </c>
      <c r="V157" s="39" t="n">
        <f aca="false">ROUND(M157*100/O157-100,0)</f>
        <v>0</v>
      </c>
    </row>
    <row r="158" s="38" customFormat="true" ht="63.75" hidden="false" customHeight="true" outlineLevel="0" collapsed="false">
      <c r="A158" s="28" t="n">
        <v>148</v>
      </c>
      <c r="B158" s="62" t="s">
        <v>601</v>
      </c>
      <c r="C158" s="58" t="s">
        <v>27</v>
      </c>
      <c r="D158" s="59" t="n">
        <v>43.2</v>
      </c>
      <c r="E158" s="32" t="n">
        <f aca="false">O158</f>
        <v>317.92</v>
      </c>
      <c r="F158" s="42" t="s">
        <v>602</v>
      </c>
      <c r="G158" s="34" t="n">
        <f aca="false">411/1.2*1.05</f>
        <v>359.63</v>
      </c>
      <c r="H158" s="34" t="n">
        <f aca="false">D158*G158</f>
        <v>15536.02</v>
      </c>
      <c r="I158" s="42" t="s">
        <v>603</v>
      </c>
      <c r="J158" s="34" t="n">
        <f aca="false">316/1.2*1.05</f>
        <v>276.5</v>
      </c>
      <c r="K158" s="34" t="n">
        <f aca="false">D158*J158</f>
        <v>11944.8</v>
      </c>
      <c r="L158" s="42" t="s">
        <v>604</v>
      </c>
      <c r="M158" s="34" t="n">
        <f aca="false">363/1.2*1.05</f>
        <v>317.63</v>
      </c>
      <c r="N158" s="34" t="n">
        <f aca="false">D158*M158</f>
        <v>13721.62</v>
      </c>
      <c r="O158" s="35" t="n">
        <f aca="false">AVERAGE(G158,J158,M158)</f>
        <v>317.92</v>
      </c>
      <c r="P158" s="36" t="n">
        <f aca="false">E158*100/O158-100</f>
        <v>0</v>
      </c>
      <c r="Q158" s="35" t="n">
        <f aca="false">O158*D158</f>
        <v>13734.14</v>
      </c>
      <c r="R158" s="37"/>
      <c r="T158" s="39" t="n">
        <f aca="false">ROUND(G158*100/O158-100,0)</f>
        <v>13</v>
      </c>
      <c r="U158" s="39" t="n">
        <f aca="false">ROUND(J158*100/O158-100,0)</f>
        <v>-13</v>
      </c>
      <c r="V158" s="39" t="n">
        <f aca="false">ROUND(M158*100/O158-100,0)</f>
        <v>-0</v>
      </c>
    </row>
    <row r="159" s="38" customFormat="true" ht="105" hidden="false" customHeight="true" outlineLevel="0" collapsed="false">
      <c r="A159" s="28" t="n">
        <v>149</v>
      </c>
      <c r="B159" s="57" t="s">
        <v>605</v>
      </c>
      <c r="C159" s="58" t="s">
        <v>606</v>
      </c>
      <c r="D159" s="59" t="n">
        <v>10</v>
      </c>
      <c r="E159" s="32" t="n">
        <f aca="false">O159</f>
        <v>121.28</v>
      </c>
      <c r="F159" s="33" t="s">
        <v>607</v>
      </c>
      <c r="G159" s="34" t="n">
        <f aca="false">130/1.2*1.05</f>
        <v>113.75</v>
      </c>
      <c r="H159" s="34" t="n">
        <f aca="false">D159*G159</f>
        <v>1137.5</v>
      </c>
      <c r="I159" s="33" t="s">
        <v>608</v>
      </c>
      <c r="J159" s="34" t="n">
        <f aca="false">136.81/1.2*1.05</f>
        <v>119.71</v>
      </c>
      <c r="K159" s="34" t="n">
        <f aca="false">D159*J159</f>
        <v>1197.1</v>
      </c>
      <c r="L159" s="33" t="s">
        <v>609</v>
      </c>
      <c r="M159" s="34" t="n">
        <f aca="false">149/1.2*1.05</f>
        <v>130.38</v>
      </c>
      <c r="N159" s="34" t="n">
        <f aca="false">D159*M159</f>
        <v>1303.8</v>
      </c>
      <c r="O159" s="35" t="n">
        <f aca="false">AVERAGE(G159,J159,M159)</f>
        <v>121.28</v>
      </c>
      <c r="P159" s="36" t="n">
        <f aca="false">E159*100/O159-100</f>
        <v>0</v>
      </c>
      <c r="Q159" s="35" t="n">
        <f aca="false">O159*D159</f>
        <v>1212.8</v>
      </c>
      <c r="R159" s="37"/>
      <c r="T159" s="39" t="n">
        <f aca="false">ROUND(G159*100/O159-100,0)</f>
        <v>-6</v>
      </c>
      <c r="U159" s="39" t="n">
        <f aca="false">ROUND(J159*100/O159-100,0)</f>
        <v>-1</v>
      </c>
      <c r="V159" s="39" t="n">
        <f aca="false">ROUND(M159*100/O159-100,0)</f>
        <v>8</v>
      </c>
    </row>
    <row r="160" s="38" customFormat="true" ht="90" hidden="false" customHeight="true" outlineLevel="0" collapsed="false">
      <c r="A160" s="28" t="n">
        <v>150</v>
      </c>
      <c r="B160" s="57" t="s">
        <v>610</v>
      </c>
      <c r="C160" s="58" t="s">
        <v>606</v>
      </c>
      <c r="D160" s="59" t="n">
        <v>10</v>
      </c>
      <c r="E160" s="32" t="n">
        <f aca="false">O160</f>
        <v>242.79</v>
      </c>
      <c r="F160" s="33" t="s">
        <v>611</v>
      </c>
      <c r="G160" s="34" t="n">
        <f aca="false">290*1.05/1.2</f>
        <v>253.75</v>
      </c>
      <c r="H160" s="34" t="n">
        <f aca="false">D160*G160</f>
        <v>2537.5</v>
      </c>
      <c r="I160" s="33" t="s">
        <v>612</v>
      </c>
      <c r="J160" s="34" t="n">
        <f aca="false">287.9/1.2*1.05</f>
        <v>251.91</v>
      </c>
      <c r="K160" s="34" t="n">
        <f aca="false">D160*J160</f>
        <v>2519.1</v>
      </c>
      <c r="L160" s="33" t="s">
        <v>613</v>
      </c>
      <c r="M160" s="34" t="n">
        <f aca="false">254.52/1.2*1.05</f>
        <v>222.71</v>
      </c>
      <c r="N160" s="34" t="n">
        <f aca="false">D160*M160</f>
        <v>2227.1</v>
      </c>
      <c r="O160" s="35" t="n">
        <f aca="false">AVERAGE(G160,J160,M160)</f>
        <v>242.79</v>
      </c>
      <c r="P160" s="36" t="n">
        <f aca="false">E160*100/O160-100</f>
        <v>0</v>
      </c>
      <c r="Q160" s="35" t="n">
        <f aca="false">O160*D160</f>
        <v>2427.9</v>
      </c>
      <c r="R160" s="37"/>
      <c r="T160" s="39" t="n">
        <f aca="false">ROUND(G160*100/O160-100,0)</f>
        <v>5</v>
      </c>
      <c r="U160" s="39" t="n">
        <f aca="false">ROUND(J160*100/O160-100,0)</f>
        <v>4</v>
      </c>
      <c r="V160" s="39" t="n">
        <f aca="false">ROUND(M160*100/O160-100,0)</f>
        <v>-8</v>
      </c>
    </row>
    <row r="161" s="38" customFormat="true" ht="90" hidden="false" customHeight="true" outlineLevel="0" collapsed="false">
      <c r="A161" s="28" t="n">
        <v>151</v>
      </c>
      <c r="B161" s="57" t="s">
        <v>614</v>
      </c>
      <c r="C161" s="58" t="s">
        <v>606</v>
      </c>
      <c r="D161" s="59" t="n">
        <v>10</v>
      </c>
      <c r="E161" s="32" t="n">
        <f aca="false">O161</f>
        <v>276.16</v>
      </c>
      <c r="F161" s="33" t="s">
        <v>615</v>
      </c>
      <c r="G161" s="34" t="n">
        <f aca="false">299.63/1.2*1.05</f>
        <v>262.18</v>
      </c>
      <c r="H161" s="34" t="n">
        <f aca="false">D161*G161</f>
        <v>2621.8</v>
      </c>
      <c r="I161" s="33" t="s">
        <v>616</v>
      </c>
      <c r="J161" s="34" t="n">
        <f aca="false">297/1.2*1.05</f>
        <v>259.88</v>
      </c>
      <c r="K161" s="34" t="n">
        <f aca="false">D161*J161</f>
        <v>2598.8</v>
      </c>
      <c r="L161" s="33" t="s">
        <v>617</v>
      </c>
      <c r="M161" s="34" t="n">
        <f aca="false">350.18/1.2*1.05</f>
        <v>306.41</v>
      </c>
      <c r="N161" s="34" t="n">
        <f aca="false">D161*M161</f>
        <v>3064.1</v>
      </c>
      <c r="O161" s="35" t="n">
        <f aca="false">AVERAGE(G161,J161,M161)</f>
        <v>276.16</v>
      </c>
      <c r="P161" s="36" t="n">
        <f aca="false">E161*100/O161-100</f>
        <v>0</v>
      </c>
      <c r="Q161" s="35" t="n">
        <f aca="false">O161*D161</f>
        <v>2761.6</v>
      </c>
      <c r="R161" s="37"/>
      <c r="T161" s="39" t="n">
        <f aca="false">ROUND(G161*100/O161-100,0)</f>
        <v>-5</v>
      </c>
      <c r="U161" s="39" t="n">
        <f aca="false">ROUND(J161*100/O161-100,0)</f>
        <v>-6</v>
      </c>
      <c r="V161" s="39" t="n">
        <f aca="false">ROUND(M161*100/O161-100,0)</f>
        <v>11</v>
      </c>
    </row>
    <row r="162" s="38" customFormat="true" ht="135" hidden="false" customHeight="true" outlineLevel="0" collapsed="false">
      <c r="A162" s="28" t="n">
        <v>152</v>
      </c>
      <c r="B162" s="57" t="s">
        <v>618</v>
      </c>
      <c r="C162" s="58" t="s">
        <v>606</v>
      </c>
      <c r="D162" s="59" t="n">
        <v>10</v>
      </c>
      <c r="E162" s="32" t="n">
        <f aca="false">O162</f>
        <v>761.7</v>
      </c>
      <c r="F162" s="33" t="s">
        <v>619</v>
      </c>
      <c r="G162" s="34" t="n">
        <f aca="false">883.6/1.2*1.05</f>
        <v>773.15</v>
      </c>
      <c r="H162" s="34" t="n">
        <f aca="false">D162*G162</f>
        <v>7731.5</v>
      </c>
      <c r="I162" s="33" t="s">
        <v>620</v>
      </c>
      <c r="J162" s="34" t="n">
        <f aca="false">856/1.2*1.05</f>
        <v>749</v>
      </c>
      <c r="K162" s="34" t="n">
        <f aca="false">D162*J162</f>
        <v>7490</v>
      </c>
      <c r="L162" s="33" t="s">
        <v>621</v>
      </c>
      <c r="M162" s="34" t="n">
        <f aca="false">871.95/1.2*1.05</f>
        <v>762.96</v>
      </c>
      <c r="N162" s="34" t="n">
        <f aca="false">D162*M162</f>
        <v>7629.6</v>
      </c>
      <c r="O162" s="35" t="n">
        <f aca="false">AVERAGE(G162,J162,M162)</f>
        <v>761.7</v>
      </c>
      <c r="P162" s="36" t="n">
        <f aca="false">E162*100/O162-100</f>
        <v>0</v>
      </c>
      <c r="Q162" s="35" t="n">
        <f aca="false">O162*D162</f>
        <v>7617</v>
      </c>
      <c r="R162" s="37"/>
      <c r="T162" s="39" t="n">
        <f aca="false">ROUND(G162*100/O162-100,0)</f>
        <v>2</v>
      </c>
      <c r="U162" s="39" t="n">
        <f aca="false">ROUND(J162*100/O162-100,0)</f>
        <v>-2</v>
      </c>
      <c r="V162" s="39" t="n">
        <f aca="false">ROUND(M162*100/O162-100,0)</f>
        <v>0</v>
      </c>
    </row>
    <row r="163" s="38" customFormat="true" ht="89.25" hidden="false" customHeight="true" outlineLevel="0" collapsed="false">
      <c r="A163" s="28" t="n">
        <v>153</v>
      </c>
      <c r="B163" s="57" t="s">
        <v>622</v>
      </c>
      <c r="C163" s="58" t="s">
        <v>365</v>
      </c>
      <c r="D163" s="59" t="n">
        <v>100</v>
      </c>
      <c r="E163" s="32" t="n">
        <f aca="false">O163</f>
        <v>83.61</v>
      </c>
      <c r="F163" s="42" t="s">
        <v>623</v>
      </c>
      <c r="G163" s="34" t="n">
        <f aca="false">4900/50/1.2*1.05</f>
        <v>85.75</v>
      </c>
      <c r="H163" s="34" t="n">
        <f aca="false">D163*G163</f>
        <v>8575</v>
      </c>
      <c r="I163" s="42" t="s">
        <v>624</v>
      </c>
      <c r="J163" s="34" t="n">
        <f aca="false">4530/50/1.2*1.05</f>
        <v>79.28</v>
      </c>
      <c r="K163" s="34" t="n">
        <f aca="false">D163*J163</f>
        <v>7928</v>
      </c>
      <c r="L163" s="42" t="s">
        <v>625</v>
      </c>
      <c r="M163" s="34" t="n">
        <f aca="false">4903/50/1.2*1.05</f>
        <v>85.8</v>
      </c>
      <c r="N163" s="34" t="n">
        <f aca="false">D163*M163</f>
        <v>8580</v>
      </c>
      <c r="O163" s="35" t="n">
        <f aca="false">AVERAGE(G163,J163,M163)</f>
        <v>83.61</v>
      </c>
      <c r="P163" s="36" t="n">
        <f aca="false">E163*100/O163-100</f>
        <v>0</v>
      </c>
      <c r="Q163" s="35" t="n">
        <f aca="false">O163*D163</f>
        <v>8361</v>
      </c>
      <c r="R163" s="37"/>
      <c r="T163" s="39" t="n">
        <f aca="false">ROUND(G163*100/O163-100,0)</f>
        <v>3</v>
      </c>
      <c r="U163" s="39" t="n">
        <f aca="false">ROUND(J163*100/O163-100,0)</f>
        <v>-5</v>
      </c>
      <c r="V163" s="39" t="n">
        <f aca="false">ROUND(M163*100/O163-100,0)</f>
        <v>3</v>
      </c>
    </row>
    <row r="164" s="38" customFormat="true" ht="225" hidden="false" customHeight="true" outlineLevel="0" collapsed="false">
      <c r="A164" s="28" t="n">
        <v>154</v>
      </c>
      <c r="B164" s="57" t="s">
        <v>626</v>
      </c>
      <c r="C164" s="58" t="s">
        <v>143</v>
      </c>
      <c r="D164" s="59" t="n">
        <v>300</v>
      </c>
      <c r="E164" s="32" t="n">
        <f aca="false">O164</f>
        <v>1305.21</v>
      </c>
      <c r="F164" s="33" t="s">
        <v>627</v>
      </c>
      <c r="G164" s="34" t="n">
        <f aca="false">1489/1.2*1.05</f>
        <v>1302.88</v>
      </c>
      <c r="H164" s="34" t="n">
        <f aca="false">D164*G164</f>
        <v>390864</v>
      </c>
      <c r="I164" s="33" t="s">
        <v>628</v>
      </c>
      <c r="J164" s="34" t="n">
        <f aca="false">1485/1.2*1.05</f>
        <v>1299.38</v>
      </c>
      <c r="K164" s="34" t="n">
        <f aca="false">D164*J164</f>
        <v>389814</v>
      </c>
      <c r="L164" s="33" t="s">
        <v>629</v>
      </c>
      <c r="M164" s="34" t="n">
        <f aca="false">1501/1.2*1.05</f>
        <v>1313.38</v>
      </c>
      <c r="N164" s="34" t="n">
        <f aca="false">D164*M164</f>
        <v>394014</v>
      </c>
      <c r="O164" s="35" t="n">
        <f aca="false">AVERAGE(G164,J164,M164)</f>
        <v>1305.21</v>
      </c>
      <c r="P164" s="36" t="n">
        <f aca="false">E164*100/O164-100</f>
        <v>0</v>
      </c>
      <c r="Q164" s="35" t="n">
        <f aca="false">O164*D164</f>
        <v>391563</v>
      </c>
      <c r="R164" s="37"/>
      <c r="T164" s="39" t="n">
        <f aca="false">ROUND(G164*100/O164-100,0)</f>
        <v>-0</v>
      </c>
      <c r="U164" s="39" t="n">
        <f aca="false">ROUND(J164*100/O164-100,0)</f>
        <v>-0</v>
      </c>
      <c r="V164" s="39" t="n">
        <f aca="false">ROUND(M164*100/O164-100,0)</f>
        <v>1</v>
      </c>
    </row>
    <row r="165" s="38" customFormat="true" ht="51" hidden="false" customHeight="true" outlineLevel="0" collapsed="false">
      <c r="A165" s="28" t="n">
        <v>155</v>
      </c>
      <c r="B165" s="63" t="s">
        <v>630</v>
      </c>
      <c r="C165" s="64" t="s">
        <v>27</v>
      </c>
      <c r="D165" s="65" t="n">
        <v>10</v>
      </c>
      <c r="E165" s="32" t="n">
        <f aca="false">O165</f>
        <v>831.76</v>
      </c>
      <c r="F165" s="42" t="s">
        <v>631</v>
      </c>
      <c r="G165" s="34" t="n">
        <f aca="false">387/400*1000/1.2*1.05</f>
        <v>846.56</v>
      </c>
      <c r="H165" s="34" t="n">
        <f aca="false">D165*G165</f>
        <v>8465.6</v>
      </c>
      <c r="I165" s="42" t="s">
        <v>632</v>
      </c>
      <c r="J165" s="34" t="n">
        <f aca="false">377.7/400*1000/1.2*1.05</f>
        <v>826.22</v>
      </c>
      <c r="K165" s="34" t="n">
        <f aca="false">D165*J165</f>
        <v>8262.2</v>
      </c>
      <c r="L165" s="42" t="s">
        <v>633</v>
      </c>
      <c r="M165" s="34" t="n">
        <f aca="false">376/400*1000/1.2*1.05</f>
        <v>822.5</v>
      </c>
      <c r="N165" s="34" t="n">
        <f aca="false">D165*M165</f>
        <v>8225</v>
      </c>
      <c r="O165" s="35" t="n">
        <f aca="false">AVERAGE(G165,J165,M165)</f>
        <v>831.76</v>
      </c>
      <c r="P165" s="36" t="n">
        <f aca="false">E165*100/O165-100</f>
        <v>0</v>
      </c>
      <c r="Q165" s="35" t="n">
        <f aca="false">O165*D165</f>
        <v>8317.6</v>
      </c>
      <c r="R165" s="37"/>
      <c r="T165" s="39" t="n">
        <f aca="false">ROUND(G165*100/O165-100,0)</f>
        <v>2</v>
      </c>
      <c r="U165" s="39" t="n">
        <f aca="false">ROUND(J165*100/O165-100,0)</f>
        <v>-1</v>
      </c>
      <c r="V165" s="39" t="n">
        <f aca="false">ROUND(M165*100/O165-100,0)</f>
        <v>-1</v>
      </c>
    </row>
    <row r="166" s="38" customFormat="true" ht="153" hidden="false" customHeight="true" outlineLevel="0" collapsed="false">
      <c r="A166" s="28" t="n">
        <v>156</v>
      </c>
      <c r="B166" s="63" t="s">
        <v>634</v>
      </c>
      <c r="C166" s="64" t="s">
        <v>27</v>
      </c>
      <c r="D166" s="65" t="n">
        <v>500</v>
      </c>
      <c r="E166" s="32" t="n">
        <f aca="false">O166</f>
        <v>100.36</v>
      </c>
      <c r="F166" s="42" t="s">
        <v>635</v>
      </c>
      <c r="G166" s="34" t="n">
        <f aca="false">2825/25/1.2*1.05</f>
        <v>98.88</v>
      </c>
      <c r="H166" s="34" t="n">
        <f aca="false">D166*G166</f>
        <v>49440</v>
      </c>
      <c r="I166" s="42" t="s">
        <v>636</v>
      </c>
      <c r="J166" s="34" t="n">
        <f aca="false">2547/25/1.2*1.05</f>
        <v>89.15</v>
      </c>
      <c r="K166" s="34" t="n">
        <f aca="false">D166*J166</f>
        <v>44575</v>
      </c>
      <c r="L166" s="42" t="s">
        <v>637</v>
      </c>
      <c r="M166" s="34" t="n">
        <f aca="false">3230/25/1.2*1.05</f>
        <v>113.05</v>
      </c>
      <c r="N166" s="34" t="n">
        <f aca="false">D166*M166</f>
        <v>56525</v>
      </c>
      <c r="O166" s="35" t="n">
        <f aca="false">AVERAGE(G166,J166,M166)</f>
        <v>100.36</v>
      </c>
      <c r="P166" s="36" t="n">
        <f aca="false">E166*100/O166-100</f>
        <v>0</v>
      </c>
      <c r="Q166" s="35" t="n">
        <f aca="false">O166*D166</f>
        <v>50180</v>
      </c>
      <c r="R166" s="37"/>
      <c r="T166" s="39" t="n">
        <f aca="false">ROUND(G166*100/O166-100,0)</f>
        <v>-1</v>
      </c>
      <c r="U166" s="39" t="n">
        <f aca="false">ROUND(J166*100/O166-100,0)</f>
        <v>-11</v>
      </c>
      <c r="V166" s="39" t="n">
        <f aca="false">ROUND(M166*100/O166-100,0)</f>
        <v>13</v>
      </c>
    </row>
    <row r="167" s="38" customFormat="true" ht="63.75" hidden="false" customHeight="true" outlineLevel="0" collapsed="false">
      <c r="A167" s="28" t="n">
        <v>157</v>
      </c>
      <c r="B167" s="63" t="s">
        <v>638</v>
      </c>
      <c r="C167" s="64" t="s">
        <v>64</v>
      </c>
      <c r="D167" s="65" t="n">
        <v>0.08</v>
      </c>
      <c r="E167" s="32" t="n">
        <f aca="false">O167</f>
        <v>2534.38</v>
      </c>
      <c r="F167" s="42" t="s">
        <v>639</v>
      </c>
      <c r="G167" s="34" t="n">
        <f aca="false">810/280*1000/1.2*1.05</f>
        <v>2531.25</v>
      </c>
      <c r="H167" s="34" t="n">
        <f aca="false">D167*G167</f>
        <v>202.5</v>
      </c>
      <c r="I167" s="42" t="s">
        <v>640</v>
      </c>
      <c r="J167" s="34" t="n">
        <f aca="false">803/280*1000/1.2*1.05</f>
        <v>2509.38</v>
      </c>
      <c r="K167" s="34" t="n">
        <f aca="false">D167*J167</f>
        <v>200.75</v>
      </c>
      <c r="L167" s="66" t="s">
        <v>641</v>
      </c>
      <c r="M167" s="34" t="n">
        <f aca="false">820/280*1000/1.2*1.05</f>
        <v>2562.5</v>
      </c>
      <c r="N167" s="34" t="n">
        <f aca="false">D167*M167</f>
        <v>205</v>
      </c>
      <c r="O167" s="35" t="n">
        <f aca="false">AVERAGE(G167,J167,M167)</f>
        <v>2534.38</v>
      </c>
      <c r="P167" s="36" t="n">
        <f aca="false">E167*100/O167-100</f>
        <v>0</v>
      </c>
      <c r="Q167" s="35" t="n">
        <f aca="false">O167*D167</f>
        <v>202.75</v>
      </c>
      <c r="R167" s="37"/>
      <c r="T167" s="39" t="n">
        <f aca="false">ROUND(G167*100/O167-100,0)</f>
        <v>-0</v>
      </c>
      <c r="U167" s="39" t="n">
        <f aca="false">ROUND(J167*100/O167-100,0)</f>
        <v>-1</v>
      </c>
      <c r="V167" s="39" t="n">
        <f aca="false">ROUND(M167*100/O167-100,0)</f>
        <v>1</v>
      </c>
    </row>
    <row r="168" s="38" customFormat="true" ht="51" hidden="false" customHeight="true" outlineLevel="0" collapsed="false">
      <c r="A168" s="28" t="n">
        <v>158</v>
      </c>
      <c r="B168" s="63" t="s">
        <v>642</v>
      </c>
      <c r="C168" s="64" t="s">
        <v>27</v>
      </c>
      <c r="D168" s="65" t="n">
        <v>3330</v>
      </c>
      <c r="E168" s="32" t="n">
        <f aca="false">O168</f>
        <v>53.08</v>
      </c>
      <c r="F168" s="42" t="s">
        <v>643</v>
      </c>
      <c r="G168" s="34" t="n">
        <f aca="false">1500/25/1.2*1.05</f>
        <v>52.5</v>
      </c>
      <c r="H168" s="34" t="n">
        <f aca="false">D168*G168</f>
        <v>174825</v>
      </c>
      <c r="I168" s="42" t="s">
        <v>644</v>
      </c>
      <c r="J168" s="34" t="n">
        <f aca="false">1530/25/1.2*1.05</f>
        <v>53.55</v>
      </c>
      <c r="K168" s="34" t="n">
        <f aca="false">D168*J168</f>
        <v>178321.5</v>
      </c>
      <c r="L168" s="42" t="s">
        <v>645</v>
      </c>
      <c r="M168" s="34" t="n">
        <f aca="false">1520/25/1.2*1.05</f>
        <v>53.2</v>
      </c>
      <c r="N168" s="34" t="n">
        <f aca="false">D168*M168</f>
        <v>177156</v>
      </c>
      <c r="O168" s="35" t="n">
        <f aca="false">AVERAGE(G168,J168,M168)</f>
        <v>53.08</v>
      </c>
      <c r="P168" s="36" t="n">
        <f aca="false">E168*100/O168-100</f>
        <v>0</v>
      </c>
      <c r="Q168" s="35" t="n">
        <f aca="false">O168*D168</f>
        <v>176756.4</v>
      </c>
      <c r="R168" s="37"/>
      <c r="T168" s="39" t="n">
        <f aca="false">ROUND(G168*100/O168-100,0)</f>
        <v>-1</v>
      </c>
      <c r="U168" s="39" t="n">
        <f aca="false">ROUND(J168*100/O168-100,0)</f>
        <v>1</v>
      </c>
      <c r="V168" s="39" t="n">
        <f aca="false">ROUND(M168*100/O168-100,0)</f>
        <v>0</v>
      </c>
    </row>
    <row r="169" s="38" customFormat="true" ht="94.5" hidden="false" customHeight="true" outlineLevel="0" collapsed="false">
      <c r="A169" s="28" t="n">
        <v>159</v>
      </c>
      <c r="B169" s="63" t="s">
        <v>646</v>
      </c>
      <c r="C169" s="64" t="s">
        <v>27</v>
      </c>
      <c r="D169" s="65" t="n">
        <v>3330</v>
      </c>
      <c r="E169" s="32" t="n">
        <f aca="false">O169</f>
        <v>34.98</v>
      </c>
      <c r="F169" s="66" t="s">
        <v>647</v>
      </c>
      <c r="G169" s="34" t="n">
        <f aca="false">999/25/1.2*1.05</f>
        <v>34.97</v>
      </c>
      <c r="H169" s="34" t="n">
        <f aca="false">D169*G169</f>
        <v>116450.1</v>
      </c>
      <c r="I169" s="42" t="s">
        <v>648</v>
      </c>
      <c r="J169" s="34" t="n">
        <f aca="false">999/25/1.2*1.05</f>
        <v>34.97</v>
      </c>
      <c r="K169" s="34" t="n">
        <f aca="false">D169*J169</f>
        <v>116450.1</v>
      </c>
      <c r="L169" s="42" t="s">
        <v>647</v>
      </c>
      <c r="M169" s="34" t="n">
        <f aca="false">999.8/25/1.2*1.05</f>
        <v>34.99</v>
      </c>
      <c r="N169" s="34" t="n">
        <f aca="false">D169*M169</f>
        <v>116516.7</v>
      </c>
      <c r="O169" s="35" t="n">
        <f aca="false">AVERAGE(G169,J169,M169)</f>
        <v>34.98</v>
      </c>
      <c r="P169" s="36" t="n">
        <f aca="false">E169*100/O169-100</f>
        <v>0</v>
      </c>
      <c r="Q169" s="35" t="n">
        <f aca="false">O169*D169</f>
        <v>116483.4</v>
      </c>
      <c r="R169" s="37"/>
      <c r="T169" s="39" t="n">
        <f aca="false">ROUND(G169*100/O169-100,0)</f>
        <v>-0</v>
      </c>
      <c r="U169" s="39" t="n">
        <f aca="false">ROUND(J169*100/O169-100,0)</f>
        <v>-0</v>
      </c>
      <c r="V169" s="39" t="n">
        <f aca="false">ROUND(M169*100/O169-100,0)</f>
        <v>0</v>
      </c>
    </row>
    <row r="170" s="38" customFormat="true" ht="63" hidden="false" customHeight="true" outlineLevel="0" collapsed="false">
      <c r="A170" s="28" t="n">
        <v>160</v>
      </c>
      <c r="B170" s="63" t="s">
        <v>649</v>
      </c>
      <c r="C170" s="64" t="s">
        <v>27</v>
      </c>
      <c r="D170" s="65" t="n">
        <v>1797.6</v>
      </c>
      <c r="E170" s="32" t="n">
        <f aca="false">O170</f>
        <v>32.11</v>
      </c>
      <c r="F170" s="66" t="s">
        <v>650</v>
      </c>
      <c r="G170" s="34" t="n">
        <f aca="false">863/25/1.2*1.05</f>
        <v>30.21</v>
      </c>
      <c r="H170" s="34" t="n">
        <f aca="false">D170*G170</f>
        <v>54305.5</v>
      </c>
      <c r="I170" s="66" t="s">
        <v>651</v>
      </c>
      <c r="J170" s="34" t="n">
        <f aca="false">995/25/1.2*1.05</f>
        <v>34.83</v>
      </c>
      <c r="K170" s="34" t="n">
        <f aca="false">D170*J170</f>
        <v>62610.41</v>
      </c>
      <c r="L170" s="66" t="s">
        <v>652</v>
      </c>
      <c r="M170" s="34" t="n">
        <f aca="false">894/25/1.2*1.05</f>
        <v>31.29</v>
      </c>
      <c r="N170" s="34" t="n">
        <f aca="false">D170*M170</f>
        <v>56246.9</v>
      </c>
      <c r="O170" s="35" t="n">
        <f aca="false">AVERAGE(G170,J170,M170)</f>
        <v>32.11</v>
      </c>
      <c r="P170" s="36" t="n">
        <f aca="false">E170*100/O170-100</f>
        <v>0</v>
      </c>
      <c r="Q170" s="35" t="n">
        <f aca="false">O170*D170</f>
        <v>57720.94</v>
      </c>
      <c r="R170" s="37"/>
      <c r="T170" s="39" t="n">
        <f aca="false">ROUND(G170*100/O170-100,0)</f>
        <v>-6</v>
      </c>
      <c r="U170" s="39" t="n">
        <f aca="false">ROUND(J170*100/O170-100,0)</f>
        <v>8</v>
      </c>
      <c r="V170" s="39" t="n">
        <f aca="false">ROUND(M170*100/O170-100,0)</f>
        <v>-3</v>
      </c>
    </row>
    <row r="171" s="38" customFormat="true" ht="63.75" hidden="false" customHeight="true" outlineLevel="0" collapsed="false">
      <c r="A171" s="28" t="n">
        <v>161</v>
      </c>
      <c r="B171" s="63" t="s">
        <v>653</v>
      </c>
      <c r="C171" s="64" t="s">
        <v>64</v>
      </c>
      <c r="D171" s="65" t="n">
        <v>37.5</v>
      </c>
      <c r="E171" s="32" t="n">
        <f aca="false">O171</f>
        <v>1029.39</v>
      </c>
      <c r="F171" s="42" t="s">
        <v>654</v>
      </c>
      <c r="G171" s="34" t="n">
        <f aca="false">898/750*1000/1.2*1.05</f>
        <v>1047.67</v>
      </c>
      <c r="H171" s="34" t="n">
        <f aca="false">D171*G171</f>
        <v>39287.63</v>
      </c>
      <c r="I171" s="42" t="s">
        <v>655</v>
      </c>
      <c r="J171" s="34" t="n">
        <f aca="false">899/750*1000/1.2*1.05</f>
        <v>1048.83</v>
      </c>
      <c r="K171" s="34" t="n">
        <f aca="false">D171*J171</f>
        <v>39331.13</v>
      </c>
      <c r="L171" s="42" t="s">
        <v>656</v>
      </c>
      <c r="M171" s="34" t="n">
        <f aca="false">850/750*1000/1.2*1.05</f>
        <v>991.67</v>
      </c>
      <c r="N171" s="34" t="n">
        <f aca="false">D171*M171</f>
        <v>37187.63</v>
      </c>
      <c r="O171" s="35" t="n">
        <f aca="false">AVERAGE(G171,J171,M171)</f>
        <v>1029.39</v>
      </c>
      <c r="P171" s="36" t="n">
        <f aca="false">E171*100/O171-100</f>
        <v>0</v>
      </c>
      <c r="Q171" s="35" t="n">
        <f aca="false">O171*D171</f>
        <v>38602.13</v>
      </c>
      <c r="R171" s="37"/>
      <c r="T171" s="39" t="n">
        <f aca="false">ROUND(G171*100/O171-100,0)</f>
        <v>2</v>
      </c>
      <c r="U171" s="39" t="n">
        <f aca="false">ROUND(J171*100/O171-100,0)</f>
        <v>2</v>
      </c>
      <c r="V171" s="39" t="n">
        <f aca="false">ROUND(M171*100/O171-100,0)</f>
        <v>-4</v>
      </c>
    </row>
    <row r="172" s="38" customFormat="true" ht="105" hidden="false" customHeight="true" outlineLevel="0" collapsed="false">
      <c r="A172" s="28" t="n">
        <v>162</v>
      </c>
      <c r="B172" s="63" t="s">
        <v>657</v>
      </c>
      <c r="C172" s="64" t="s">
        <v>27</v>
      </c>
      <c r="D172" s="65" t="n">
        <v>214</v>
      </c>
      <c r="E172" s="32" t="n">
        <f aca="false">O172</f>
        <v>258.13</v>
      </c>
      <c r="F172" s="33" t="s">
        <v>658</v>
      </c>
      <c r="G172" s="34" t="n">
        <f aca="false">540/2/1.2*1.05</f>
        <v>236.25</v>
      </c>
      <c r="H172" s="34" t="n">
        <f aca="false">D172*G172</f>
        <v>50557.5</v>
      </c>
      <c r="I172" s="33" t="s">
        <v>659</v>
      </c>
      <c r="J172" s="34" t="n">
        <f aca="false">625/2/1.2*1.05</f>
        <v>273.44</v>
      </c>
      <c r="K172" s="34" t="n">
        <f aca="false">D172*J172</f>
        <v>58516.16</v>
      </c>
      <c r="L172" s="33" t="s">
        <v>660</v>
      </c>
      <c r="M172" s="34" t="n">
        <f aca="false">605/2/1.2*1.05</f>
        <v>264.69</v>
      </c>
      <c r="N172" s="34" t="n">
        <f aca="false">D172*M172</f>
        <v>56643.66</v>
      </c>
      <c r="O172" s="35" t="n">
        <f aca="false">AVERAGE(G172,J172,M172)</f>
        <v>258.13</v>
      </c>
      <c r="P172" s="36" t="n">
        <f aca="false">E172*100/O172-100</f>
        <v>0</v>
      </c>
      <c r="Q172" s="35" t="n">
        <f aca="false">O172*D172</f>
        <v>55239.82</v>
      </c>
      <c r="R172" s="37"/>
      <c r="T172" s="39" t="n">
        <f aca="false">ROUND(G172*100/O172-100,0)</f>
        <v>-8</v>
      </c>
      <c r="U172" s="39" t="n">
        <f aca="false">ROUND(J172*100/O172-100,0)</f>
        <v>6</v>
      </c>
      <c r="V172" s="39" t="n">
        <f aca="false">ROUND(M172*100/O172-100,0)</f>
        <v>3</v>
      </c>
    </row>
    <row r="173" s="38" customFormat="true" ht="180" hidden="false" customHeight="true" outlineLevel="0" collapsed="false">
      <c r="A173" s="28" t="n">
        <v>163</v>
      </c>
      <c r="B173" s="63" t="s">
        <v>661</v>
      </c>
      <c r="C173" s="64" t="s">
        <v>27</v>
      </c>
      <c r="D173" s="65" t="n">
        <v>545.94</v>
      </c>
      <c r="E173" s="32" t="n">
        <f aca="false">O173</f>
        <v>922.31</v>
      </c>
      <c r="F173" s="40"/>
      <c r="G173" s="34" t="n">
        <f aca="false">945/0.9/1.2*1.05</f>
        <v>918.75</v>
      </c>
      <c r="H173" s="34" t="n">
        <f aca="false">D173*G173</f>
        <v>501582.38</v>
      </c>
      <c r="I173" s="33" t="s">
        <v>33</v>
      </c>
      <c r="J173" s="34" t="n">
        <f aca="false">990/0.9/1.2*1.05</f>
        <v>962.5</v>
      </c>
      <c r="K173" s="34" t="n">
        <f aca="false">D173*J173</f>
        <v>525467.25</v>
      </c>
      <c r="L173" s="33" t="s">
        <v>34</v>
      </c>
      <c r="M173" s="34" t="n">
        <f aca="false">911/0.9/1.2*1.05</f>
        <v>885.69</v>
      </c>
      <c r="N173" s="34" t="n">
        <f aca="false">D173*M173</f>
        <v>483533.6</v>
      </c>
      <c r="O173" s="35" t="n">
        <f aca="false">AVERAGE(G173,J173,M173)</f>
        <v>922.31</v>
      </c>
      <c r="P173" s="36" t="n">
        <f aca="false">E173*100/O173-100</f>
        <v>0</v>
      </c>
      <c r="Q173" s="35" t="n">
        <f aca="false">O173*D173</f>
        <v>503525.92</v>
      </c>
      <c r="R173" s="37"/>
      <c r="T173" s="39" t="n">
        <f aca="false">ROUND(G173*100/O173-100,0)</f>
        <v>-0</v>
      </c>
      <c r="U173" s="39" t="n">
        <f aca="false">ROUND(J173*100/O173-100,0)</f>
        <v>4</v>
      </c>
      <c r="V173" s="39" t="n">
        <f aca="false">ROUND(M173*100/O173-100,0)</f>
        <v>-4</v>
      </c>
    </row>
    <row r="174" s="38" customFormat="true" ht="135" hidden="false" customHeight="true" outlineLevel="0" collapsed="false">
      <c r="A174" s="28" t="n">
        <v>164</v>
      </c>
      <c r="B174" s="63" t="s">
        <v>662</v>
      </c>
      <c r="C174" s="64" t="s">
        <v>143</v>
      </c>
      <c r="D174" s="65" t="n">
        <v>10</v>
      </c>
      <c r="E174" s="32" t="n">
        <f aca="false">O174</f>
        <v>44773.75</v>
      </c>
      <c r="F174" s="33" t="s">
        <v>663</v>
      </c>
      <c r="G174" s="34" t="n">
        <f aca="false">53705.07/1.2*1.05</f>
        <v>46991.94</v>
      </c>
      <c r="H174" s="34" t="n">
        <f aca="false">D174*G174</f>
        <v>469919.4</v>
      </c>
      <c r="I174" s="33" t="s">
        <v>664</v>
      </c>
      <c r="J174" s="34" t="n">
        <f aca="false">48448/1.2*1.05</f>
        <v>42392</v>
      </c>
      <c r="K174" s="34" t="n">
        <f aca="false">D174*J174</f>
        <v>423920</v>
      </c>
      <c r="L174" s="33" t="s">
        <v>665</v>
      </c>
      <c r="M174" s="34" t="n">
        <f aca="false">51356.93/1.2*1.05</f>
        <v>44937.31</v>
      </c>
      <c r="N174" s="34" t="n">
        <f aca="false">D174*M174</f>
        <v>449373.1</v>
      </c>
      <c r="O174" s="35" t="n">
        <f aca="false">AVERAGE(G174,J174,M174)</f>
        <v>44773.75</v>
      </c>
      <c r="P174" s="36" t="n">
        <f aca="false">E174*100/O174-100</f>
        <v>0</v>
      </c>
      <c r="Q174" s="35" t="n">
        <f aca="false">O174*D174</f>
        <v>447737.5</v>
      </c>
      <c r="R174" s="37"/>
      <c r="T174" s="39" t="n">
        <f aca="false">ROUND(G174*100/O174-100,0)</f>
        <v>5</v>
      </c>
      <c r="U174" s="39" t="n">
        <f aca="false">ROUND(J174*100/O174-100,0)</f>
        <v>-5</v>
      </c>
      <c r="V174" s="39" t="n">
        <f aca="false">ROUND(M174*100/O174-100,0)</f>
        <v>0</v>
      </c>
    </row>
    <row r="175" s="38" customFormat="true" ht="51" hidden="false" customHeight="true" outlineLevel="0" collapsed="false">
      <c r="A175" s="28" t="n">
        <v>165</v>
      </c>
      <c r="B175" s="63" t="s">
        <v>666</v>
      </c>
      <c r="C175" s="64" t="s">
        <v>143</v>
      </c>
      <c r="D175" s="65" t="n">
        <v>80</v>
      </c>
      <c r="E175" s="32" t="n">
        <f aca="false">O175</f>
        <v>676.38</v>
      </c>
      <c r="F175" s="42" t="s">
        <v>667</v>
      </c>
      <c r="G175" s="34" t="n">
        <f aca="false">722/1.2*1.05</f>
        <v>631.75</v>
      </c>
      <c r="H175" s="34" t="n">
        <f aca="false">D175*G175</f>
        <v>50540</v>
      </c>
      <c r="I175" s="42" t="s">
        <v>668</v>
      </c>
      <c r="J175" s="34" t="n">
        <f aca="false">870/1.2*1.05</f>
        <v>761.25</v>
      </c>
      <c r="K175" s="34" t="n">
        <f aca="false">D175*J175</f>
        <v>60900</v>
      </c>
      <c r="L175" s="42" t="s">
        <v>669</v>
      </c>
      <c r="M175" s="34" t="n">
        <f aca="false">727/1.2*1.05</f>
        <v>636.13</v>
      </c>
      <c r="N175" s="34" t="n">
        <f aca="false">D175*M175</f>
        <v>50890.4</v>
      </c>
      <c r="O175" s="35" t="n">
        <f aca="false">AVERAGE(G175,J175,M175)</f>
        <v>676.38</v>
      </c>
      <c r="P175" s="36" t="n">
        <f aca="false">E175*100/O175-100</f>
        <v>0</v>
      </c>
      <c r="Q175" s="35" t="n">
        <f aca="false">O175*D175</f>
        <v>54110.4</v>
      </c>
      <c r="R175" s="37"/>
      <c r="T175" s="39" t="n">
        <f aca="false">ROUND(G175*100/O175-100,0)</f>
        <v>-7</v>
      </c>
      <c r="U175" s="39" t="n">
        <f aca="false">ROUND(J175*100/O175-100,0)</f>
        <v>13</v>
      </c>
      <c r="V175" s="39" t="n">
        <f aca="false">ROUND(M175*100/O175-100,0)</f>
        <v>-6</v>
      </c>
    </row>
    <row r="176" s="38" customFormat="true" ht="382.5" hidden="false" customHeight="true" outlineLevel="0" collapsed="false">
      <c r="A176" s="28" t="n">
        <v>166</v>
      </c>
      <c r="B176" s="63" t="s">
        <v>670</v>
      </c>
      <c r="C176" s="64" t="s">
        <v>27</v>
      </c>
      <c r="D176" s="65" t="n">
        <v>2663.01</v>
      </c>
      <c r="E176" s="32" t="n">
        <f aca="false">O176</f>
        <v>264.16</v>
      </c>
      <c r="F176" s="42" t="s">
        <v>671</v>
      </c>
      <c r="G176" s="34" t="n">
        <f aca="false">4283/13/1.2*1.05</f>
        <v>288.28</v>
      </c>
      <c r="H176" s="34" t="n">
        <f aca="false">D176*G176</f>
        <v>767692.52</v>
      </c>
      <c r="I176" s="42" t="s">
        <v>672</v>
      </c>
      <c r="J176" s="34" t="n">
        <f aca="false">4558/14/1.2*1.05</f>
        <v>284.88</v>
      </c>
      <c r="K176" s="34" t="n">
        <f aca="false">D176*J176</f>
        <v>758638.29</v>
      </c>
      <c r="L176" s="42" t="s">
        <v>673</v>
      </c>
      <c r="M176" s="34" t="n">
        <f aca="false">3760/15/1.2*1.05</f>
        <v>219.33</v>
      </c>
      <c r="N176" s="34" t="n">
        <f aca="false">D176*M176</f>
        <v>584077.98</v>
      </c>
      <c r="O176" s="35" t="n">
        <f aca="false">AVERAGE(G176,J176,M176)</f>
        <v>264.16</v>
      </c>
      <c r="P176" s="36" t="n">
        <f aca="false">E176*100/O176-100</f>
        <v>0</v>
      </c>
      <c r="Q176" s="35" t="n">
        <f aca="false">O176*D176</f>
        <v>703460.72</v>
      </c>
      <c r="R176" s="37"/>
      <c r="T176" s="39" t="n">
        <f aca="false">ROUND(G176*100/O176-100,0)</f>
        <v>9</v>
      </c>
      <c r="U176" s="39" t="n">
        <f aca="false">ROUND(J176*100/O176-100,0)</f>
        <v>8</v>
      </c>
      <c r="V176" s="39" t="n">
        <f aca="false">ROUND(M176*100/O176-100,0)</f>
        <v>-17</v>
      </c>
    </row>
    <row r="177" s="38" customFormat="true" ht="90" hidden="true" customHeight="true" outlineLevel="1" collapsed="false">
      <c r="A177" s="28" t="n">
        <v>167</v>
      </c>
      <c r="B177" s="63" t="s">
        <v>674</v>
      </c>
      <c r="C177" s="64" t="s">
        <v>675</v>
      </c>
      <c r="D177" s="65" t="n">
        <v>172.15</v>
      </c>
      <c r="E177" s="32" t="n">
        <f aca="false">O177</f>
        <v>3791.67</v>
      </c>
      <c r="F177" s="67" t="s">
        <v>676</v>
      </c>
      <c r="G177" s="68" t="n">
        <f aca="false">4700/1.2*1.05</f>
        <v>4112.5</v>
      </c>
      <c r="H177" s="68" t="n">
        <f aca="false">D177*G177</f>
        <v>707966.88</v>
      </c>
      <c r="I177" s="67" t="s">
        <v>677</v>
      </c>
      <c r="J177" s="68" t="n">
        <f aca="false">4200/1.2*1.05</f>
        <v>3675</v>
      </c>
      <c r="K177" s="68" t="n">
        <f aca="false">D177*J177</f>
        <v>632651.25</v>
      </c>
      <c r="L177" s="67" t="s">
        <v>678</v>
      </c>
      <c r="M177" s="68" t="n">
        <f aca="false">4100/1.2*1.05</f>
        <v>3587.5</v>
      </c>
      <c r="N177" s="34" t="n">
        <f aca="false">D177*M177</f>
        <v>617588.13</v>
      </c>
      <c r="O177" s="35" t="n">
        <f aca="false">AVERAGE(G177,J177,M177)</f>
        <v>3791.67</v>
      </c>
      <c r="P177" s="36" t="n">
        <f aca="false">E177*100/O177-100</f>
        <v>0</v>
      </c>
      <c r="Q177" s="35" t="n">
        <f aca="false">O177*D177</f>
        <v>652735.99</v>
      </c>
      <c r="R177" s="37"/>
      <c r="T177" s="39" t="n">
        <f aca="false">ROUND(G177*100/O177-100,0)</f>
        <v>8</v>
      </c>
      <c r="U177" s="39" t="n">
        <f aca="false">ROUND(J177*100/O177-100,0)</f>
        <v>-3</v>
      </c>
      <c r="V177" s="39" t="n">
        <f aca="false">ROUND(M177*100/O177-100,0)</f>
        <v>-5</v>
      </c>
    </row>
    <row r="178" s="38" customFormat="true" ht="135" hidden="false" customHeight="true" outlineLevel="0" collapsed="false">
      <c r="A178" s="28" t="n">
        <v>168</v>
      </c>
      <c r="B178" s="63" t="s">
        <v>679</v>
      </c>
      <c r="C178" s="64" t="s">
        <v>27</v>
      </c>
      <c r="D178" s="65" t="n">
        <v>1682</v>
      </c>
      <c r="E178" s="32" t="n">
        <f aca="false">O178</f>
        <v>21.29</v>
      </c>
      <c r="F178" s="33" t="s">
        <v>680</v>
      </c>
      <c r="G178" s="34" t="n">
        <f aca="false">122/5/1.2*1.05</f>
        <v>21.35</v>
      </c>
      <c r="H178" s="34" t="n">
        <f aca="false">D178*G178</f>
        <v>35910.7</v>
      </c>
      <c r="I178" s="33" t="s">
        <v>681</v>
      </c>
      <c r="J178" s="34" t="n">
        <f aca="false">125/5/1.2*1.05</f>
        <v>21.88</v>
      </c>
      <c r="K178" s="34" t="n">
        <f aca="false">D178*J178</f>
        <v>36802.16</v>
      </c>
      <c r="L178" s="33" t="s">
        <v>682</v>
      </c>
      <c r="M178" s="34" t="n">
        <f aca="false">118/5/1.2*1.05</f>
        <v>20.65</v>
      </c>
      <c r="N178" s="34" t="n">
        <f aca="false">D178*M178</f>
        <v>34733.3</v>
      </c>
      <c r="O178" s="35" t="n">
        <f aca="false">AVERAGE(G178,J178,M178)</f>
        <v>21.29</v>
      </c>
      <c r="P178" s="36" t="n">
        <f aca="false">E178*100/O178-100</f>
        <v>0</v>
      </c>
      <c r="Q178" s="35" t="n">
        <f aca="false">O178*D178</f>
        <v>35809.78</v>
      </c>
      <c r="R178" s="37"/>
      <c r="T178" s="39" t="n">
        <f aca="false">ROUND(G178*100/O178-100,0)</f>
        <v>0</v>
      </c>
      <c r="U178" s="39" t="n">
        <f aca="false">ROUND(J178*100/O178-100,0)</f>
        <v>3</v>
      </c>
      <c r="V178" s="39" t="n">
        <f aca="false">ROUND(M178*100/O178-100,0)</f>
        <v>-3</v>
      </c>
    </row>
    <row r="179" s="38" customFormat="true" ht="105" hidden="false" customHeight="true" outlineLevel="0" collapsed="false">
      <c r="A179" s="28" t="n">
        <v>169</v>
      </c>
      <c r="B179" s="63" t="s">
        <v>683</v>
      </c>
      <c r="C179" s="64" t="s">
        <v>27</v>
      </c>
      <c r="D179" s="65" t="n">
        <v>92</v>
      </c>
      <c r="E179" s="32" t="n">
        <f aca="false">O179</f>
        <v>338.33</v>
      </c>
      <c r="F179" s="33" t="s">
        <v>684</v>
      </c>
      <c r="G179" s="34" t="n">
        <f aca="false">360/1.2*1.05</f>
        <v>315</v>
      </c>
      <c r="H179" s="34" t="n">
        <f aca="false">D179*G179</f>
        <v>28980</v>
      </c>
      <c r="I179" s="33" t="s">
        <v>685</v>
      </c>
      <c r="J179" s="34" t="n">
        <f aca="false">380/1.2*1.05</f>
        <v>332.5</v>
      </c>
      <c r="K179" s="34" t="n">
        <f aca="false">D179*J179</f>
        <v>30590</v>
      </c>
      <c r="L179" s="33" t="s">
        <v>686</v>
      </c>
      <c r="M179" s="34" t="n">
        <f aca="false">420/1.2*1.05</f>
        <v>367.5</v>
      </c>
      <c r="N179" s="34" t="n">
        <f aca="false">D179*M179</f>
        <v>33810</v>
      </c>
      <c r="O179" s="35" t="n">
        <f aca="false">AVERAGE(G179,J179,M179)</f>
        <v>338.33</v>
      </c>
      <c r="P179" s="36" t="n">
        <f aca="false">E179*100/O179-100</f>
        <v>0</v>
      </c>
      <c r="Q179" s="35" t="n">
        <f aca="false">O179*D179</f>
        <v>31126.36</v>
      </c>
      <c r="R179" s="37"/>
      <c r="T179" s="39" t="n">
        <f aca="false">ROUND(G179*100/O179-100,0)</f>
        <v>-7</v>
      </c>
      <c r="U179" s="39" t="n">
        <f aca="false">ROUND(J179*100/O179-100,0)</f>
        <v>-2</v>
      </c>
      <c r="V179" s="39" t="n">
        <f aca="false">ROUND(M179*100/O179-100,0)</f>
        <v>9</v>
      </c>
    </row>
    <row r="180" s="71" customFormat="true" ht="25.5" hidden="false" customHeight="true" outlineLevel="0" collapsed="false">
      <c r="A180" s="69" t="s">
        <v>687</v>
      </c>
      <c r="B180" s="69"/>
      <c r="C180" s="69"/>
      <c r="D180" s="69"/>
      <c r="E180" s="69"/>
      <c r="F180" s="69"/>
      <c r="G180" s="69"/>
      <c r="H180" s="69"/>
      <c r="I180" s="69"/>
      <c r="J180" s="69"/>
      <c r="K180" s="69"/>
      <c r="L180" s="69"/>
      <c r="M180" s="69"/>
      <c r="N180" s="69"/>
      <c r="O180" s="35" t="n">
        <f aca="false">SUM(O11:O96)</f>
        <v>233802.33</v>
      </c>
      <c r="P180" s="36"/>
      <c r="Q180" s="35"/>
      <c r="R180" s="70"/>
    </row>
    <row r="181" s="8" customFormat="true" ht="33" hidden="false" customHeight="true" outlineLevel="0" collapsed="false">
      <c r="A181" s="72"/>
      <c r="B181" s="73"/>
      <c r="C181" s="73"/>
      <c r="D181" s="73"/>
      <c r="E181" s="73"/>
      <c r="F181" s="73"/>
      <c r="G181" s="73"/>
      <c r="H181" s="73"/>
      <c r="I181" s="74"/>
      <c r="J181" s="72"/>
      <c r="K181" s="72"/>
      <c r="L181" s="72"/>
      <c r="M181" s="72"/>
      <c r="N181" s="72"/>
      <c r="O181" s="72"/>
      <c r="P181" s="72"/>
      <c r="Q181" s="72"/>
      <c r="R181" s="72"/>
    </row>
    <row r="182" customFormat="false" ht="15.75" hidden="false" customHeight="true" outlineLevel="0" collapsed="false">
      <c r="B182" s="75" t="s">
        <v>688</v>
      </c>
      <c r="I182" s="74"/>
    </row>
    <row r="183" customFormat="false" ht="15.75" hidden="false" customHeight="true" outlineLevel="0" collapsed="false">
      <c r="I183" s="74"/>
    </row>
    <row r="184" customFormat="false" ht="15" hidden="false" customHeight="true" outlineLevel="0" collapsed="false"/>
    <row r="185" customFormat="false" ht="124.5" hidden="false" customHeight="true" outlineLevel="0" collapsed="false">
      <c r="B185" s="76" t="s">
        <v>689</v>
      </c>
      <c r="C185" s="76"/>
      <c r="D185" s="76"/>
      <c r="E185" s="76"/>
      <c r="F185" s="76"/>
      <c r="G185" s="76"/>
      <c r="H185" s="76"/>
      <c r="I185" s="76"/>
      <c r="J185" s="76"/>
      <c r="K185" s="76"/>
      <c r="L185" s="76"/>
      <c r="M185" s="76"/>
      <c r="N185" s="76"/>
      <c r="O185" s="76"/>
      <c r="P185" s="76"/>
    </row>
    <row r="186" customFormat="false" ht="15" hidden="false" customHeight="true" outlineLevel="0" collapsed="false"/>
    <row r="187" customFormat="false" ht="32.25" hidden="false" customHeight="true" outlineLevel="0" collapsed="false">
      <c r="B187" s="76" t="s">
        <v>690</v>
      </c>
      <c r="C187" s="76"/>
      <c r="D187" s="76"/>
      <c r="E187" s="76"/>
      <c r="F187" s="76"/>
      <c r="G187" s="76"/>
      <c r="H187" s="76"/>
      <c r="I187" s="76"/>
      <c r="J187" s="76"/>
      <c r="K187" s="76"/>
      <c r="L187" s="76"/>
      <c r="M187" s="76"/>
      <c r="N187" s="76"/>
      <c r="O187" s="76"/>
      <c r="P187" s="76"/>
    </row>
    <row r="188" customFormat="false" ht="15" hidden="false" customHeight="true" outlineLevel="0" collapsed="false"/>
    <row r="189" customFormat="false" ht="15" hidden="false" customHeight="true" outlineLevel="0" collapsed="false"/>
    <row r="190" customFormat="false" ht="15" hidden="false" customHeight="true" outlineLevel="0" collapsed="false"/>
    <row r="191" customFormat="false" ht="15" hidden="false" customHeight="true" outlineLevel="0" collapsed="false"/>
    <row r="192" customFormat="false" ht="15" hidden="false" customHeight="true" outlineLevel="0" collapsed="false"/>
    <row r="193" customFormat="false" ht="15" hidden="false" customHeight="true" outlineLevel="0" collapsed="false"/>
    <row r="194" customFormat="false" ht="15" hidden="false" customHeight="true" outlineLevel="0" collapsed="false"/>
    <row r="195" customFormat="false" ht="15" hidden="false" customHeight="true" outlineLevel="0" collapsed="false">
      <c r="H195" s="1" t="n">
        <f aca="false">149/130</f>
        <v>1.14615384615385</v>
      </c>
    </row>
  </sheetData>
  <autoFilter ref="A10:P180"/>
  <mergeCells count="21">
    <mergeCell ref="O1:R1"/>
    <mergeCell ref="O2:R2"/>
    <mergeCell ref="A3:O3"/>
    <mergeCell ref="A5:P5"/>
    <mergeCell ref="A7:A9"/>
    <mergeCell ref="B7:B9"/>
    <mergeCell ref="C7:C9"/>
    <mergeCell ref="D7:D9"/>
    <mergeCell ref="E7:E9"/>
    <mergeCell ref="F7:H8"/>
    <mergeCell ref="I7:K8"/>
    <mergeCell ref="L7:N8"/>
    <mergeCell ref="O7:O9"/>
    <mergeCell ref="P7:P9"/>
    <mergeCell ref="Q7:Q9"/>
    <mergeCell ref="R7:R9"/>
    <mergeCell ref="T7:V8"/>
    <mergeCell ref="A180:N180"/>
    <mergeCell ref="B181:H181"/>
    <mergeCell ref="B185:P185"/>
    <mergeCell ref="B187:P187"/>
  </mergeCells>
  <conditionalFormatting sqref="T11:V179">
    <cfRule type="expression" priority="2" aboveAverage="0" equalAverage="0" bottom="0" percent="0" rank="0" text="" dxfId="13">
      <formula>AND(T11&lt;-20,T11&lt;0)</formula>
    </cfRule>
    <cfRule type="expression" priority="3" aboveAverage="0" equalAverage="0" bottom="0" percent="0" rank="0" text="" dxfId="14">
      <formula>AND(T11&gt;20,T11&gt;0)</formula>
    </cfRule>
  </conditionalFormatting>
  <conditionalFormatting sqref="P11:P180">
    <cfRule type="cellIs" priority="4" operator="greaterThan" aboveAverage="0" equalAverage="0" bottom="0" percent="0" rank="0" text="" dxfId="15">
      <formula>0</formula>
    </cfRule>
  </conditionalFormatting>
  <hyperlinks>
    <hyperlink ref="F11" r:id="rId2" display="https://www.magazin-krasok.com/polirovka/autokosmetika/motorhim/11abr-abro.html"/>
    <hyperlink ref="I11" r:id="rId3" display="https://avsila.ru/catalog/masla-avtokosmetika-avtokhimiya/germetiki/germetik-abro-silikonovyy-krasnyy-85-gr-original-11ab-r/?ysclid=lnna30tmkz989350706"/>
    <hyperlink ref="L11" r:id="rId4" display="https://www.avtoall.ru/germetik_krasnyiy_silikonovyiy_vysokotemperaturnyiy_85g_abro-481831/?ysclid=lnna2yqqvs230393224#"/>
    <hyperlink ref="F12" r:id="rId5" location="searchQuery=Грунт-эмаль+по+ржавчине+HardMax+Корроед&amp;searchType=srp" display="https://novorossiysk.vseinstrumenti.ru/product/grunt-emal-po-rzhavchine-hardmax-korroed-ral-7040-okonnyj-seryj-banka-1-9-kg-1-sht-4690417071739-1853434/#searchQuery=Грунт-эмаль+по+ржавчине+HardMax+Корроед&amp;searchType=srp"/>
    <hyperlink ref="I12" r:id="rId6" display="https://www.chipdip.ru/product0/8018241711?ysclid=lnncntmipn274156882"/>
    <hyperlink ref="L12" r:id="rId7" display="https://avtomaster66.ru/catalog/grunty_1/grunt_emal_mister_hammer_hardmax_korroed_ral_7040_okonnyy_seryy_po_rzhavchine_1l_0_9kg_kvil/"/>
    <hyperlink ref="F13" r:id="rId8" display="https://avtomaster66.ru/catalog/grunty_1/grunt_emal_mister_hammer_hardmax_korroed_ral_5015_goluboy_po_rzhavchine_1l_0_9kg_kvil_/"/>
    <hyperlink ref="I13" r:id="rId9" display="https://www.chipdip.ru/product0/8008857921"/>
    <hyperlink ref="L13" r:id="rId10" location="searchQuery=Грунт-эмаль+по+ржавчине+HardMax+Корроед+RAL+5015+голубой&amp;searchType=srp" display="https://novorossiysk.vseinstrumenti.ru/product/grunt-emal-po-rzhavchine-hardmax-korroed-ral-5015-goluboj-banka-0-9-kg-1-sht-4690417077977-1853240/#searchQuery=Грунт-эмаль+по+ржавчине+HardMax+Корроед+RAL+5015+голубой&amp;searchType=srp"/>
    <hyperlink ref="F14" r:id="rId11" display="https://www.chipdip.ru/product0/8018241708?ysclid=lnnc3szz4c293021830"/>
    <hyperlink ref="I14" r:id="rId12" display="https://avtomaster66.ru/catalog/grunty_1/grunt_emal_mister_hammer_hardmax_korroed_ral_3011_krasno_korichnevaya_po_rzhavchine_1l_0_9kg_kvil/?ysclid=lnnc6qp3ku546632107"/>
    <hyperlink ref="L14" r:id="rId13" location="searchQuery=Грунт-эмаль+по+ржавчине+HardMax+Корроед+красный&amp;searchType=srp" display="https://novorossiysk.vseinstrumenti.ru/product/grunt-emal-po-rzhavchine-hardmax-korroed-ral-3011-krasno-korichnevyj-banka-0-9-kg-1-sht-4690417071241-1853225/#searchQuery=Грунт-эмаль+по+ржавчине+HardMax+Корроед+красный&amp;searchType=srp"/>
    <hyperlink ref="L15" r:id="rId14" display="https://antisplash.ru/koltso-uprugoe-muvp-k3-35kh18kh9kh4-5"/>
    <hyperlink ref="F16" r:id="rId15" display="https://aquacentr18.ru/catalog/zapornaya_armatura/kran_sharovyy_du15_gg_babochka_pro_aqua/"/>
    <hyperlink ref="I16" r:id="rId16" display="https://stmgroup.ru/goods/kran-sarovyj-vn-vn-12-bab-pro-aqua-fwb63-f15-f15x?ysclid=lnn0hvtj5u790161172"/>
    <hyperlink ref="L16" r:id="rId17" display="https://www.etm.ru/cat/nn/6219190?ysclid=lnn0i717kf57925310&amp;city=77"/>
    <hyperlink ref="F17" r:id="rId18" display="https://www.etm.ru/cat/nn/2386322?ysclid=lnn17vsbvg856756019&amp;city=77"/>
    <hyperlink ref="I17" r:id="rId19" display="https://novorossiysk.vseinstrumenti.ru/product/sharovoj-polnoprohodnoj-kran-pro-aqua-v-v-ruchka-rychag-1-fwl51-f25-f25x-978114/?ysclid=lnn119nu9u716721344"/>
    <hyperlink ref="L17" r:id="rId20" display="https://www.teremonline.ru/catalog/inzhenernaya-santekhnika/zapornoreguliruyushchaya-armatura/1673_krany-sharovye/pro-aqua-fwl51f25f25x-pro-aqua-d-1-kran-sharovoy-polnoprokhodnoy-ruchkarychag-vv/?ysclid=lnn11fl0aw223348086"/>
    <hyperlink ref="F18" r:id="rId21" display="https://www.proaqua.pro/catalog/armatura/sharovye-krany/sharovye-krany-spetsialnogo-naznacheniya/kran-uglovoy-s-160-patrubkom-dlya-shlanga-ruchka-rychag39/?ysclid=lnn1iukr2j945232635"/>
    <hyperlink ref="I18" r:id="rId22" display="https://www.etm.ru/cat/nn/7406373?ysclid=lnn1j0vvah650562446&amp;city=77"/>
    <hyperlink ref="L18" r:id="rId23" display="https://www.teremonline.ru/catalog/inzhenernaya-santekhnika/zapornoreguliruyushchaya-armatura/1673_krany-sharovye/pro-aqua-ewl55m15x-pro-aqua-d-12-kran-uglovoy-s-patrubkom-dlya-shlanga-ruchkarychag-n/?ysclid=lnn1ixv7ug729964205"/>
    <hyperlink ref="F19" r:id="rId24" display="https://www.proaqua.pro/catalog/armatura/sharovye-krany/sharovye-krany-spetsialnogo-naznacheniya/kran-uglovoy-s-160-patrubkom-dlya-shlanga-ruchka-rychag39/?ysclid=lnn1iukr2j945232635"/>
    <hyperlink ref="I19" r:id="rId25" display="https://www.etm.ru/cat/nn/6817682"/>
    <hyperlink ref="L19" r:id="rId26" display="https://www.teremonline.ru/catalog/inzhenernaya-santekhnika/zapornoreguliruyushchaya-armatura/1673_krany-sharovye/pro-aqua-ewl55m20x-pro-aqua-d-34-kran-uglovoy-s-patrubkom-dlya-shlanga-ruchkarychag-n/"/>
    <hyperlink ref="F21" r:id="rId27" display="https://ru.lukoil-shop.com/catalog/legkovye_avtomobili/motornye_masla/maslo_motornoe_lukoyl_super_15w_40_sg_cd/?ysclid=lozhj2wyln789992910"/>
    <hyperlink ref="I21" r:id="rId28" display="https://www.vseinstrumenti.ru/product/motornoe-maslo-lukojl-avangard-sae-15w-40-api-cf-4-sg-5-l-19309-4825129/"/>
    <hyperlink ref="L21" r:id="rId29" display="https://baza.drom.ru/vladivostok/chemistry/motoroil/lukojl-avangard-ultra-m3-sae-15w40-api-ci-4-sl-105001880.html"/>
    <hyperlink ref="L22" r:id="rId30" display="https://vodaiteplo-online.ru/catalog/vodonagrevatel_thermex_drift_10_o/"/>
    <hyperlink ref="L27" r:id="rId31" display="https://stardive.ru/shop/detailed_layout/id/1093"/>
    <hyperlink ref="I30" r:id="rId32" display="https://www.etm.ru/cat/nn/7034263"/>
    <hyperlink ref="F32" r:id="rId33" display="https://www.vseinstrumenti.ru/product/ugolok-soedinitelnyj-16-mm-1-2-tsanga-shtutser-dlya-truboprovoda-zubr-51409-16-1-2-231878/"/>
    <hyperlink ref="I32" r:id="rId34" display="https://exist.ru/Catalog/Goods/36/1025/AB70F01A"/>
    <hyperlink ref="L32" r:id="rId35" display="http://www.tovarpost.ru/web/tovarpost.asp?action=tovpod&amp;elem=5966763"/>
    <hyperlink ref="F33" r:id="rId36" display="https://www.elektro.ru/product/mufta_soedinitelnaya_stm-20_3_4_fortisflex_2/"/>
    <hyperlink ref="I33" r:id="rId37" display="https://www.chipdip.ru/product0/8010128096"/>
    <hyperlink ref="L33" r:id="rId38" display="https://www.etm.ru/cat/nn/6032007?city=77"/>
    <hyperlink ref="F34" r:id="rId39" display="https://valtec.ru/catalog/sistemy_metallopolimernyh_i_polimernyh_truboprovodov/obzhimnye_fitingi/fiting_objimnoj_trojnik_s_perehodom_na_narujnuyu_rezbu_vtm333n.html"/>
    <hyperlink ref="I34" r:id="rId40" display="https://tdsayany.ru/catalogue/show/troynik-obzhimnoy-s-perehodom-na-nar-r/"/>
    <hyperlink ref="L34" r:id="rId41" display="https://www.bigam.ru/product/valtec-1083844/"/>
    <hyperlink ref="F35" r:id="rId42" display="https://fwater.ru/catalog/fitingi_dlya_trub/fitingi_obzhimnye_dlya_trub_metalloplastikovykh_/valtec_3/troynik_s_perekhodom_na_naruzhnuyu_rezbu_20_mm_kh_1_2_valtec/"/>
    <hyperlink ref="I35" r:id="rId43" display="https://www.termokit.ru/product/fiting_obzhimnoy_troynik_s_perekhodom_na_naruzhnuyu_rezbu_valtec_20_x_1_2.htm"/>
    <hyperlink ref="L35" r:id="rId44" display="https://aksis63.ru/catalog/metalloplastikovye_truby_i_fitingi/vtm_333_troynik_obzhimnoy_s_perekhodom_na_naruzhnuyu_rezbu_20_1_2_20_ts_nar_ts/"/>
    <hyperlink ref="F36" r:id="rId45" display="https://www.tim-ru.ru/products/349526399-press_fiting_ugolok_nikelirovanny_20_20_f_l2020n"/>
    <hyperlink ref="I36" r:id="rId46" location="characteristics" display="https://www.vseinstrumenti.ru/product/ugolok-aqualink-perehodnoj-1-2x3-4-vn-vn-tsena-za-upakovku-10-sht-art-2560-1746361/#characteristics"/>
    <hyperlink ref="L36" r:id="rId47" display="https://dn.ru/polietilenovye-truby-i-fitingi/ugolki/rtp/ugolok-axi-vr/dn20-1-2"/>
    <hyperlink ref="F37" r:id="rId48" display="https://tim-com.ru/katalog-tim/press-fiting-ugolok-c320---1-2-vnutrennyaya-c320-mm"/>
    <hyperlink ref="I37" r:id="rId49" display="https://promportal.su/goods/44188258/press-fiting-ugolok-nikelirovanniy-20-20-f-l2020n.htm"/>
    <hyperlink ref="L37" r:id="rId50" display="https://tim-rif.ru/products/press-fiting-ugolok-nikelirovannyj-f-20x20-tim-f-l2020n"/>
    <hyperlink ref="F38" r:id="rId51" location="searchQuery=Подшипник+308&amp;searchType=srp" display="https://novorossiysk.vseinstrumenti.ru/product/podshipnik-cnic-uzel-ucp308-podshipnik-uc308-v-arochnom-korpuse-65231-2042508/#searchQuery=Подшипник+308&amp;searchType=srp"/>
    <hyperlink ref="I38" r:id="rId52" display="https://new.optorg.ru/catalog/avtozapchasti/industrialnye_podshipniki/podshipniki/238505/"/>
    <hyperlink ref="L38" r:id="rId53" display="https://bearingstore.ru/catalog/podshipniki_podshipnikovye_uzly_i_detali/podshipnikovye_uzly_korpusa_i_komplektuyushchie/podshipnikovye_uzly_i_komplektuyushchie_osnovnogo_primeneniya/72074/?ysclid=lnn5dbbf7v216585646"/>
    <hyperlink ref="F39" r:id="rId54" display="https://fetparts.ru/products/AQUALINK/02358.html"/>
    <hyperlink ref="I39" r:id="rId55" display="https://goodmag.ru/product/aqualine-podvodka-gibkaya-dlya-vody-s-nak-gaykoy-latun-v-stalnoy-opletke-1-2-400-sm-vn-nar-2358/"/>
    <hyperlink ref="L39" r:id="rId56" display="https://arsenal007.ru/catalog/khoztovary/santekhnika/podvodka/aqualine-podvodka-gibkaya-dlya-vodyi-s-nak-gaykoy-latun-v-stalnoy-opletke-1-2-400-sm--vn-nar-2358-art-719297/"/>
    <hyperlink ref="F40" r:id="rId57" display="https://www.kraska-ekb.ru/goods/81268106-grunt_emal_antikorroziynaya_dv_106"/>
    <hyperlink ref="I40" r:id="rId58" display="https://bizorg.su/grunt-emal-r/p27961380-gruntemal-po-rzhavchine-dv106-tsveto"/>
    <hyperlink ref="L40" r:id="rId59" display="https://krasnodar.pulscen.ru/products/grunt_emal_antikorroziynaya_dv_106_81268106"/>
    <hyperlink ref="F41" r:id="rId60" display="https://www.kraska-ekb.ru/goods/81268106-grunt_emal_antikorroziynaya_dv_106"/>
    <hyperlink ref="I41" r:id="rId61" display="https://bizorg.su/grunt-emal-r/p27961380-gruntemal-po-rzhavchine-dv106-tsveto"/>
    <hyperlink ref="L41" r:id="rId62" display="https://krasnodar.pulscen.ru/products/grunt_emal_antikorroziynaya_dv_106_81268106"/>
    <hyperlink ref="F45" r:id="rId63" display="https://rs24.ru/product/2313919"/>
    <hyperlink ref="I45" r:id="rId64" display="https://www.chipdip.ru/product0/8007133241"/>
    <hyperlink ref="L45" r:id="rId65" display="https://dc-electro.ru/catalog/products/vyklyuchatel-avtomaticheskiy-modulnyy-3p-d-40a-c60n-sche-m9f12340/"/>
    <hyperlink ref="F46" r:id="rId66" display="https://autopiter.ru/goods/614500/sintec/id53355745"/>
    <hyperlink ref="I46" r:id="rId67" location="?details_block=reviews" display="https://megamarket.ru/catalog/details/antifriz-sintec-krasno-oranzhevyy-gotovyy-antifriz-5kg-614500-100022894432/otzyvy/#?details_block=reviews"/>
    <hyperlink ref="L46" r:id="rId68" display="https://avtospectr.com/market/sintec-antifriz-lux-g12-krasnyj-01l/"/>
    <hyperlink ref="F47" r:id="rId69" display="https://www.magazin-krasok.com/polirovka/autokosmetika/motorhim/11abr-abro.html"/>
    <hyperlink ref="I47" r:id="rId70" display="https://avsila.ru/catalog/masla-avtokosmetika-avtokhimiya/germetiki/germetik-abro-silikonovyy-krasnyy-85-gr-original-11ab-r/?ysclid=lnna30tmkz989350706"/>
    <hyperlink ref="L47" r:id="rId71" display="https://www.avtoall.ru/germetik_krasnyiy_silikonovyiy_vysokotemperaturnyiy_85g_abro-481831/?ysclid=lnna2yqqvs230393224#"/>
    <hyperlink ref="F48" r:id="rId72" display="https://www.manometer-spb.ru/catalog/manometry/tekhnicheskie/3078/"/>
    <hyperlink ref="I48" r:id="rId73" display="https://manometry.ru/mp3-uf"/>
    <hyperlink ref="L48" r:id="rId74" display="https://mera-tek.ru/catalog/manometry/mp3-uf-1-mpa-kl-1-5-m20kh1-5/"/>
    <hyperlink ref="F49" r:id="rId75" display="https://nevinnomisk.specarmatura.ru/catalog/manometry_tekhnicheskie_fiztekh/manometr_mp3_uf_0_1_6_atm_ip40_m20_1_5_rsh/"/>
    <hyperlink ref="I49" r:id="rId76" display="https://sale-instrument.ru/product/manometr-fizteh-mp3-uf-isp-eko-0-1-6-mpa-kt-1-5-d-100-ip40-g1-2-rsh-1754923532.html"/>
    <hyperlink ref="L49" r:id="rId77" display="https://kupi-kip.ru/product/manometr-tehnicheskij-fizteh-mp3-uf-v-ispolnenii-eko/"/>
    <hyperlink ref="F50" r:id="rId78" display="https://nevinnomisk.specarmatura.ru/catalog/manometry_tekhnicheskie_fiztekh/manometr_mp3_uf_0_1_6_atm_ip40_m20_1_5_rsh/"/>
    <hyperlink ref="I50" r:id="rId79" display="https://sale-instrument.ru/product/manometr-fizteh-mp3-uf-isp-eko-0-1-6-mpa-kt-1-5-d-100-ip40-g1-2-rsh-1754923532.html"/>
    <hyperlink ref="L50" r:id="rId80" display="https://kupi-kip.ru/product/manometr-tehnicheskij-fizteh-mp3-uf-v-ispolnenii-eko/"/>
    <hyperlink ref="F51" r:id="rId81" display="https://vsemanometri.ru/catalog/ekonom_variant/manometry_tekhnicheskie_mp3_uf_eko/"/>
    <hyperlink ref="I51" r:id="rId82" display="https://www.manometer-spb.ru/catalog/manometry/tekhnicheskie/2770/"/>
    <hyperlink ref="L51" r:id="rId83" display="https://lab-oborudovanie.ru/catalog/manometrt-mp3-u-eko-0-2-5-mpa/"/>
    <hyperlink ref="F52" r:id="rId84" display="https://tdatm.ru/catalog/kontrolno_izmeritelnye_pribory_kipia/sredstva_izmereniya_davleniya/manometry/manometr_mp3_uf_isp_eko_0_1_mpa_kt_1_5_d_100_ip40_g1_2_rsh.html"/>
    <hyperlink ref="I52" r:id="rId85" display="https://vsemanometri.ru/catalog/ekonom_variant/manometry_tekhnicheskie_mp3_uf_eko/"/>
    <hyperlink ref="L52" r:id="rId86" display="https://www.manometer-spb.ru/catalog/manometry/tekhnicheskie/2766/"/>
    <hyperlink ref="F53" r:id="rId87" display="https://lab-oborudovanie.ru/catalog/manometrt-mp3-uf-eko-0-1-6-mpa/"/>
    <hyperlink ref="I53" r:id="rId88" display="https://www.manometer-spb.ru/catalog/manometry/tekhnicheskie/2775/"/>
    <hyperlink ref="L53" r:id="rId89" display="https://vsemanometri.ru/catalog/ekonom_variant/manometry_tekhnicheskie_mp3_uf_eko/"/>
    <hyperlink ref="F54" r:id="rId90" display="https://manometry.ru/tm-320r"/>
    <hyperlink ref="I54" r:id="rId91" display="https://manocentr.ru/category/manometry/vibroustojchivye-manometry/vibroustojchivyj-manometr-tm-320r/"/>
    <hyperlink ref="L54" r:id="rId92" display="https://ingenerseti.ru/product/manometr_tm_320r_00_0_2_5_mra_m12_1_5_zapolnenie_silikon_radialnyy_rosma/"/>
    <hyperlink ref="F55" r:id="rId93" display="https://www.fiztech.ru/catalog/manometry/693/"/>
    <hyperlink ref="I55" r:id="rId94" display="https://afkmarket.ru/catalog/pribory-ucheta-i-kipia/manometry/29576/"/>
    <hyperlink ref="L55" r:id="rId95" display="https://lab-oborudovanie.ru/catalog/manometr-dm2010-isp-5-0-10-mpa/"/>
    <hyperlink ref="F56" r:id="rId96" display="https://nevinnomisk.specarmatura.ru/catalog/manometry_elektrokontaktnye_fiztekh/manometr_dm2010f_isp_v_0_10_0_atm_ip40_m20kh1_5_rsh/"/>
    <hyperlink ref="I56" r:id="rId97" display="https://afkmarket.ru/catalog/pribory-ucheta-i-kipia/manometry/29576/"/>
    <hyperlink ref="L56" r:id="rId98" display="https://www.manometer-spb.ru/catalog/manometry/elektrokontaktnye_ekm/6686/"/>
    <hyperlink ref="F57" r:id="rId99" display="https://nevinnomisk.specarmatura.ru/catalog/manometry_elektrokontaktnye_fiztekh/manometr_dm2010f_isp_v_0_1_6_atm_ip40_m20kh1_5_rsh/"/>
    <hyperlink ref="I57" r:id="rId100" display="https://pro-com.ru/catalog/instrument_i_sredstva_zashchity/instrument_pnevmaticheskiy_/prinadlezhnosti_dlya_pnevmoinstrumenta_/manometry/manometr_dm2010f_isp_v_0_16_mpa_kt_1_5_d_100_ip40_m20_1_5_rsh/"/>
    <hyperlink ref="L57" r:id="rId101" display="https://manometry.ru/dm2010f"/>
    <hyperlink ref="F58" r:id="rId102" display="https://nevinnomisk.specarmatura.ru/catalog/manometry_elektrokontaktnye_fiztekh/manometr_dm2010f_isp_v_0_1_6_atm_ip40_m20kh1_5_rsh/"/>
    <hyperlink ref="I58" r:id="rId103" display="https://mera-tek.ru/catalog/manometry/dm2010f-1-6-mpa-kl-1-5-isp-v-bez-flantsa/"/>
    <hyperlink ref="F59" r:id="rId104" display="https://manometry.ru/dm2010f"/>
    <hyperlink ref="I59" r:id="rId105" display="http://www.spec-arm.ru/goods/230265912-manometr_elektrokontaktny_dm2010f_isp_v_0_4_0_mpa_kt_1_5_d100_ip40_m20kh1_5_rsh"/>
    <hyperlink ref="L59" r:id="rId106" display="https://nevinnomisk.specarmatura.ru/catalog/manometry_elektrokontaktnye_fiztekh/manometr_dm2010f_isp_v_0_40_0_atm_ip40_m20kh1_5_rsh/"/>
    <hyperlink ref="F60" r:id="rId107" display="https://manometry.ru/dm2010f"/>
    <hyperlink ref="I60" r:id="rId108" display="https://tdatm.ru/catalog/kontrolno_izmeritelnye_pribory_kipia/sredstva_izmereniya_davleniya/manometry/manometr_dm2010f_isp_v_0_1_mpa_kt_1_5_d_100_ip40_m20_1_5_rsh.html"/>
    <hyperlink ref="L60" r:id="rId109" display="https://kupi-kip.ru/product/manometry-elektrokontaktnye-fizteh-dm2010f/"/>
    <hyperlink ref="F61" r:id="rId110" display="https://nevinnomisk.specarmatura.ru/catalog/manometry_elektrokontaktnye_fiztekh/manometr_dm2010f_isp_v_0_6_0_atm_ip40_m20kh1_5_rsh/"/>
    <hyperlink ref="I61" r:id="rId111" display="https://www.manometer-spb.ru/catalog/manometry/elektrokontaktnye_ekm/6690/"/>
    <hyperlink ref="L61" r:id="rId112" display="https://manometry.ru/dm2010f"/>
    <hyperlink ref="F62" r:id="rId113" display="https://lab-oborudovanie.ru/catalog/manometr-dm2010-isp-5-0-60-mpa/"/>
    <hyperlink ref="I62" r:id="rId114" display="https://www.fiztech.ru/catalog/manometry/693/"/>
    <hyperlink ref="L62" r:id="rId115" display="https://www.manometer-spb.ru/catalog/manometry/elektrokontaktnye_ekm/6690/"/>
    <hyperlink ref="F63" r:id="rId116" display="https://knopka.org/catalog/kantselyarskie-tovary/pismennie-prinadlejnosti/markery/marker-kraska/marker-kraska_58073.html?ysclid=lnn3h6eba5631905189"/>
    <hyperlink ref="I63" r:id="rId117" display="https://kancnika.ru/catalog/pis-mennye-prinadlezhnosti/markery-flomastery/markery-spetsial-nye/Marker-kraska-BLACK-chernyy-4mm.html?ysclid=lnn3j2e0nt688273093"/>
    <hyperlink ref="F64" r:id="rId118" display="https://www.vseinstrumenti.ru/product/maslo-compressor-s-synth-100-1-l-gazpromneft-253721871-1175782/otzyvy/"/>
    <hyperlink ref="I64" r:id="rId119" display="https://amertend.ru/gazpromneft-compressor-s-synth-100"/>
    <hyperlink ref="L64" r:id="rId120" display="https://piteroils.ru/catalog/industrialnye_smazochnye_materialy/kompressornye/gazprom_neft_8/26841/"/>
    <hyperlink ref="F65" r:id="rId121" display="https://www.autoopt.ru/catalog/733654-maslo_kompressornoe_compressor_s_synth_150_205l180kg_gazpromneft"/>
    <hyperlink ref="I65" r:id="rId122" display="https://amertend.ru/gazpromneft-compressor-s-synth-150"/>
    <hyperlink ref="L65" r:id="rId123" display="https://vils.ru/catalog/kompressornye_masla/gazpromneft_compressor_s_synth_150/?offer=41867"/>
    <hyperlink ref="F66" r:id="rId124" display="https://ru.lukoil-shop.com/catalog/kommercheskiy_transport/motornye_masla/maslo_motornoe_lukoyl_avangard_mineralnoe_15w_40_api_cf_4_sg/"/>
    <hyperlink ref="I66" r:id="rId125" display="https://baza.drom.ru/ekaterinburg/chemistry/motoroil/maslo-motornoe-lukoil-avangard-extra-15w-40-cg-4-e5-mineralnoe-5-l-dlja-kommerch-tehniki-lukoil-1552367-g12763204629.html"/>
    <hyperlink ref="L66" r:id="rId126" display="https://www.arsenal-msk.ru/catalog/dlya-kommercheskogo-transporta/lukoyl-avangard-15w-40/"/>
    <hyperlink ref="F67" r:id="rId127" display="https://piteroils.ru/catalog/gruzovye_masla/otechestvennye_1/lukoyl_1/polusinteticheskie_18/13191/"/>
    <hyperlink ref="I67" r:id="rId128" display=" https://www.vsemasla.com/lukojl-avangard-ul-tra-10w-40-ci-4-sl/"/>
    <hyperlink ref="L67" r:id="rId129" display="https://hyperauto.ru/product/maslo-motornoe-lukoyl-avantgarde-ultra-10w40-polusinteticheskoe-api-sl-ci-4-acea-e7-jaso-dh-1-dlya-dizelnogo-dvigatelya-5l-art-19518-000017864/"/>
    <hyperlink ref="F68" r:id="rId130" display="https://shop220.ru/kkm11-018-230-01-kontaktor-kmi-11811-18a-230v-as3-1nz-iek.htm"/>
    <hyperlink ref="I68" r:id="rId131" display="https://www.etm.ru/cat/nn/9751780?city=77"/>
    <hyperlink ref="L68" r:id="rId132" display="https://rs24.ru/product/30482"/>
    <hyperlink ref="F69" r:id="rId133" display="https://ledgoods.ru/ehlektrotekhnika/kontaktory/minikontaktory/kontaktor-kmi-22511-25a-230v-as3-1nz-kkm21-025-230-01-iek/"/>
    <hyperlink ref="I69" r:id="rId134" display="https://elevel.ru/shop/nizkovoltnoe-oborudovanie/kontaktory/iek-kontaktor-kmi-22511-25a-230v-as3-1nz/?ysclid=lnn3vbaxbe794611308"/>
    <hyperlink ref="L69" r:id="rId135" display="https://www.elektro.ru/product/kontaktor_kmi-22511_25a_230v_as3_1nz_iek/?ysclid=lnn3vd85mf333358050"/>
    <hyperlink ref="F70" r:id="rId136" display="https://zipzap24.ru/drives-and-timing/remen-ventilyatora-k-kt-2sht-belt-art-2614b655"/>
    <hyperlink ref="I70" r:id="rId137" display="https://www.hited-shop.ru/product/remen-ventilyatora-belt-art2614b655"/>
    <hyperlink ref="L70" r:id="rId138" display="https://dg-trade.ru/catalog/zapchasti-dlya-dvigateley/zapchasti-perkins/remen-sistemy-okhlazhdeniya-perkins-2614b655/"/>
    <hyperlink ref="F71" r:id="rId139" display="https://www.autoopt.ru/catalog/911424-remen_privodnoj_klinovoj_13h1075_contitech"/>
    <hyperlink ref="I71" r:id="rId140" location="/basket" display="https://avto-sistem.ru/baskets#/basket"/>
    <hyperlink ref="L71" r:id="rId141" display="https://autocode.ru/price/Contitech/AVX13X1075"/>
    <hyperlink ref="F72" r:id="rId142" display="https://www.tss.ru/catalog/zapchasti/zapasnye_chasti_dlya_dizelnykh_dvigateley/dvigateli_perkins/zapchasti_dlya_perkins_404_d_22g_ad_16_m18/remen_privoda_generatora_998_378_10000_66575_fg_wilson_004160/"/>
    <hyperlink ref="I72" r:id="rId143" display="https://trustenergo.ru/catalog/zapasnye-chasti-dlya-dizelnykh-dvigateley/tss/remen-privoda-generatora-998-378-10000-66575-fg-wilson/"/>
    <hyperlink ref="L72" r:id="rId144" display="https://www.rekon-russia.ru/catalog/detail/remen_privoda_generatora_998_378_10000_66575_fg_wilson/"/>
    <hyperlink ref="F73" r:id="rId145" display="https://ati-auto.ru/catalog/rubena/88675/"/>
    <hyperlink ref="I73" r:id="rId146" display=" https://gettzap.ru/cart"/>
    <hyperlink ref="L73" r:id="rId147" location="/basket" display="https://jetauto39.ru/baskets#/basket"/>
    <hyperlink ref="F74" r:id="rId148" display="https://motorteile.ru/products/OPTIBELT/AVX13X1325TM.html"/>
    <hyperlink ref="I74" r:id="rId149" display="https://baza.drom.ru/barnaul/sell_spare_parts/remen-grm-contitech-avx13x1325-113231681.html"/>
    <hyperlink ref="L74" r:id="rId150" display="https://euroauto.ru/cart/"/>
    <hyperlink ref="F75" r:id="rId151" display="https://partsell.ru/zakaz"/>
    <hyperlink ref="I75" r:id="rId152" display=" https://www.tradicia-k.ru/catalog/remni-perkins/"/>
    <hyperlink ref="L75" r:id="rId153" display="https://impart.online/catalog/remen-ventilyatora-20000-12379-981-209-2614b655-2614b555-fg-wilson-n47b10/"/>
    <hyperlink ref="F76" r:id="rId154" display="https://fg-wilson.ru/product/filtr-vozdushnyy-elementair-filter-element-art-10000-51238"/>
    <hyperlink ref="I76" r:id="rId155" display="https://pecmall.ru/products/FG-WILSON/1000051238.html"/>
    <hyperlink ref="L76" r:id="rId156" display="https://zapchasti-generator.ru/catalog/zapchasti_i_raskhodnye_materialy/zapchasti-dlya-dvigateley/filtry_/vozdushnye/filtr_vozdushnyy_fg_willson_perkins_901_048_26510342/?utm_source=yd_context&amp;utm_medium=cpc&amp;utm_campaign=84814378&amp;utm_content=5152750150-13689630524-none-0&amp;utm_term=43773568027--none-goal_0&amp;yclid=15831746511027306495"/>
    <hyperlink ref="F77" r:id="rId157" display="https://fg-wilson.ru/product/filtr-vozdushnyy-901-046-26510362-915-660-art-901-046"/>
    <hyperlink ref="I77" r:id="rId158" display="https://pecmall.ru/products/FG-WILSON/901046.html"/>
    <hyperlink ref="L77" r:id="rId159" display="https://agroserver.ru/b/filtr-vozdushnyy-fg-wilson-901-046-26510362-915-660-1539830.htm"/>
    <hyperlink ref="F78" r:id="rId160" display="https://autopiter.ru/cart"/>
    <hyperlink ref="I78" r:id="rId161" location="/basket" display="https://texnostimul.ru/baskets#/basket"/>
    <hyperlink ref="L78" r:id="rId162" location="/basket" display="https://arkopart.ru/baskets#/basket"/>
    <hyperlink ref="F79" r:id="rId163" display="https://autopiter.ru/goods/af25539/fleetguard/id21461873"/>
    <hyperlink ref="I79" r:id="rId164" display="https://baza.drom.ru/tyumen/sell_spare_parts/filtr-vozdushnyj-mtz-dv-lombardini-fleetguard-fleetguard-art-af25539-g14339684661.html"/>
    <hyperlink ref="L79" r:id="rId165" location="/basket" display="https://gmgauto.ru/baskets#/basket"/>
    <hyperlink ref="F80" r:id="rId166" display="https://www.autoopt.ru/catalog/961833-filtr_masljanyj_caterpillar_fleetguard"/>
    <hyperlink ref="I80" r:id="rId167" display="https://emex.ru/basket"/>
    <hyperlink ref="L80" r:id="rId168" location="/basket" display="https://fetparts.ru/baskets#/basket"/>
    <hyperlink ref="F81" r:id="rId169" display="https://avsila.ru/catalog/masla-avtokosmetika-avtokhimiya/germetiki/germetik-abro-silikonovyy-seryy-85-gr-original-99-ab/"/>
    <hyperlink ref="I81" r:id="rId170" display="https://www.avtoall.ru/germetik_prokladka_seryiy_termostoiykiiy_85g_999_oem__ssha__abro-073340/?withoutSuppliers=1"/>
    <hyperlink ref="L81" r:id="rId171" display="https://www.chipdip.ru/product0/8013231474"/>
    <hyperlink ref="F82" r:id="rId172" display="https://instrument-40.ru/transmissionnoe-maslo-vitex-tad-17-tm-5-18-10-l-v324805"/>
    <hyperlink ref="I82" r:id="rId173" display="https://yunimag.ru/goods/1401431-transmissionnoe-maslo-vitex-tad-17tm-5-18-v324805.html"/>
    <hyperlink ref="L82" r:id="rId174" display="https://novorossiysk.vseinstrumenti.ru/product/transmissionnoe-maslo-vitex-tad-17-tm-5-18-10-l-v324805-1582198/?ysclid=lnn32euvjo575984245"/>
    <hyperlink ref="F83" r:id="rId175" display="https://www.etm.ru/cat/nn/9903245?ysclid=lnmwj2iu0211049083&amp;city=77"/>
    <hyperlink ref="I83" r:id="rId176" display="https://rs24.ru/product/1703920"/>
    <hyperlink ref="L83" r:id="rId177" display="https://www.electro-mpo.ru/catalog/vilki_razemy_udliniteli_setevye_filtry/r66_vilki_rozetki_v_rezinovom_korpuse_ip44_ip54_el/r5645-vilka-universal-1241-evr-kabelnaya-uglovaya-/?ysclid=lnmwohfeq378369280"/>
    <hyperlink ref="F84" r:id="rId178" display="https://npoenergokom.ru/zip-trans/vozdukhoosushiteli-vs/vs-1/"/>
    <hyperlink ref="I84" r:id="rId179" display="https://www.ds66.ru/goods/1087714/"/>
    <hyperlink ref="L84" r:id="rId180" display="https://viam.online/sverdlovskaja-oblast/zarechnyj/dlja-biznesa/oborudovanie-dlja-biznesa/promyshlennoe/3875-vozduhoosushiteli-rasshiritelnyj-baki.html"/>
    <hyperlink ref="F85" r:id="rId181" display="https://www.tesli.com/product/avtomaticheskiy-vyklyuchatel-keaz-1994448/"/>
    <hyperlink ref="I85" r:id="rId182" display="https://www.prestig.ru/catalog/element/vyklyuchatel-avtomaticheskiy-modulnyy-1p-c-10a-6ka-optidin-bm63-1c10-ukhl3-keaz-260501/"/>
    <hyperlink ref="L85" r:id="rId183" display="https://favorit-el.ru/catalog/vykljuchatel-avtomaticheskij-optidin-bm63-1c10-ukhl3.html"/>
    <hyperlink ref="F86" r:id="rId184" display="https://keaz.ru/catalog/product/261159"/>
    <hyperlink ref="I86" r:id="rId185" display="https://shop220.ru/261159-avtomaticheskiy-vyklyuchatel-postoyannogo-toka-optidin-bm63-1p-s16a-dc220v-6ka-keaz-bm63-1c16-dc-uhl3-avtomat-elektricheskiy.htm"/>
    <hyperlink ref="L86" r:id="rId186" display="https://cable.ru/low-voltage/low-voltage-avtomaticheskii_viklyuchatel_optidin_bm63_1c16_dc_uhl3_keaz.php"/>
    <hyperlink ref="F87" r:id="rId187" display="https://keaz.ru/catalog/product/293219"/>
    <hyperlink ref="I87" r:id="rId188" display="https://favorit-el.ru/catalog/vykljuchatel-avtomaticheskij-optidin-bm63-1c25-ukhl3.html"/>
    <hyperlink ref="L87" r:id="rId189" display="https://www.tesli.com/product/avtomaticheskiy-vyklyuchatel-keaz-1994453/"/>
    <hyperlink ref="F88" r:id="rId190" display=" https://www.chipdip.ru/product0/8001839078"/>
    <hyperlink ref="I88" r:id="rId191" display="https://shop220.ru/260499-keaz-optidin-bm63-avtomaticheskiy-vyklyuchatel-1p-6a-b-6ka-ac-bm63-1b6-uhl3-avtomat.htm"/>
    <hyperlink ref="L88" r:id="rId192" display="https://www.electro-mpo.ru/catalog/avtomaty_uzo_difavtomaty/a11_avtomaticheskie_vyklyuchateli_odnopolyusnye_va/a1147_avtomaticheskiy_vyklyuchatel_vm_63_1c6_6a_1p/"/>
    <hyperlink ref="F89" r:id="rId193" display="https://ledgoods.ru/ehlektrotekhnika/vykljuchateli/vyklyuchateli-avtomaticheskie-trekhpolyusnye/avtomaticheskij-vyklyuchatel-optidin-bm63-3c10-uhl3-3p-260789-keaz/"/>
    <hyperlink ref="I89" r:id="rId194" display="https://shop220.ru/260773-keaz-optidin-bm63-avtomaticheskiy-vyklyuchatel-3p-10a-b-6ka-ac-bm63-3b10-uhl3-avtomat.htm"/>
    <hyperlink ref="L89" r:id="rId195" display="https://rs24.ru/product/2140878"/>
    <hyperlink ref="F90" r:id="rId196" display="https://keaz.ru/catalog/product/293229"/>
    <hyperlink ref="I90" r:id="rId197" display="https://ledgoods.ru/ehlektrotekhnika/vykljuchateli/vyklyuchateli-avtomaticheskie-trekhpolyusnye/avtomaticheskij-vyklyuchatel-optidin-bm63-3b16-uhl3-3p-260775-keaz/"/>
    <hyperlink ref="L90" r:id="rId198" display="https://keaz.ru/catalog/product/260791"/>
    <hyperlink ref="F91" r:id="rId199" display="https://keaz.ru/catalog/product/260794"/>
    <hyperlink ref="I91" r:id="rId200" display="https://www.svelt.info/product/bm63-3c25-optidin-0401KZ00253/"/>
    <hyperlink ref="L91" r:id="rId201" display="https://www.tesli.com/product/avtomaticheskiy-vyklyuchatel-keaz-1998583/"/>
    <hyperlink ref="F92" r:id="rId202" display="https://shop220.ru/260787-keaz-optidin-bm63-avtomaticheskiy-vyklyuchatel-3p-6a-b-6ka-ac-bm63-3b6-uhl3-avtomat.htm"/>
    <hyperlink ref="I92" r:id="rId203" display="https://www.svelt.info/product/bm63-3c6-optidin-0401KZ00260/"/>
    <hyperlink ref="L92" r:id="rId204" display="https://electrictd.ru/catalog/nizkovoltnoe_oborudovanie/avtomaticheskie_vyklyuchateli_modulnye/vyklyuchatel_avtomaticheskiy_modulnyy_optidin_bm63_3c6_ukhl3_keaz/"/>
    <hyperlink ref="F93" r:id="rId205" display="https://smetiz.ru/tovary/gajki/gost-5915-70-d4-k5-mstal-pczink-h0-l0-ca2-akrupnyij-srossiya-117397/"/>
    <hyperlink ref="L93" r:id="rId206" display="https://kst21.ru/catalog/gayka_shestigrannaya_gost_5915_5927_din_934/gayka_m_4_otsink_kl_pr_8_0_din_934_gost_5915/"/>
    <hyperlink ref="I94" r:id="rId207" display="https://smetiz.ru/tovary/gajki/gost-5915-70-d5-k5-mstal-pbez-pokryitiya-h0-l0-ca2-akrupnyij-srossiya-121664/"/>
    <hyperlink ref="L94" r:id="rId208" display="https://www.mtk-fortuna.ru/listdiams.aspx?gradeid=1520"/>
    <hyperlink ref="F95" r:id="rId209" display="https://megamarket.ru/catalog/details/germetik-silikonovyy-prozrachnyy-310-g-vysokotemperaturnyy-abro-ss-1200-clr-abro-art-ss-12-100025302233/"/>
    <hyperlink ref="I95" r:id="rId210" display="https://www.chipdip.ru/product0/8022187512"/>
    <hyperlink ref="L95" r:id="rId211" display="https://leroymerlin.ru/product/germetik-silikonovyy-abro-ss-1200-clr1200-prozrachnyy-310-ml-90342403/?utm_referrer=https%3A%2F%2Fyandex.ru%2Fsearch%2F%3Ftext%3D%25D0%25A1%25D0%25B8%25D0%25BB%25D0%25B8%25D0%25BA%25D0%25BE%25D0%25BD%25D0%25BE%25D0%25B2%25D1%258B%25D0%25B9%2B%25D0%25B3%25D0%25B5%25D1%2580%25D0%25BC%25D0%25B5%25D1%2582%25D0%25B8%25D0%25BA%2BABRO%2B%25D0%25BF%25D1%2580%25D0%25BE%25D0%25B7%25D1%2580%25D0%25B0%25D1%2587%25D0%25BD%25D1%258B%25D0%25B9%2B310%2B%25D0%25B3%2BSS-1200-CLR%26clid%3D2714389%26win%3D619%26lr%3D11064"/>
    <hyperlink ref="F96" r:id="rId212" display="https://welteks.ru/catalog/izolyatsionnye-materialy/nakonechnik-obzhimnoy-kabelnyy-dlya-alyuminievykh-/zazhim_apparatnyy_a4a_120_mzva_00000198/?ysclid=lnn8p5n7kl533616780"/>
    <hyperlink ref="I96" r:id="rId213" display="https://rs24.ru/product/25213"/>
    <hyperlink ref="L96" r:id="rId214" display="https://e-kc.ru/cena/zazhim-apparatnyj-a4a-120-elektrofarfor-00000198?ysclid=lnn8mkfhz8338709990"/>
    <hyperlink ref="F97" r:id="rId215" display="https://welteks.ru/catalog/izolyatsionnye-materialy/nakonechnik-obzhimnoy-kabelnyy-dlya-alyuminievykh-/zazhim_apparatnyy_a4a_185_mzva_00000214/"/>
    <hyperlink ref="I97" r:id="rId216" display="https://e-kc.ru/cena/zazhim-apparatnyj-a4a-185-elektrofarfor-00000214?ysclid=lnn8w3xh1d89807170"/>
    <hyperlink ref="L97" r:id="rId217" display="https://rs24.ru/product/25207"/>
    <hyperlink ref="F98" r:id="rId218" display="https://ooo-senar.ru/catalog/elektrotekhnicheskoe_oborudovanie/sistemy_dlya_prokladki_kabelya/kabelnaya_armatura_krepezh_i_aksessuary_dlya_kabelya/997905/?ysclid=lnn9cngb7q336264848"/>
    <hyperlink ref="I98" r:id="rId219" display="https://rs24.ru/product/25210"/>
    <hyperlink ref="L98" r:id="rId220" display="https://e-kc.ru/cena/zazhim-apparatnyj-a4a-240-elektrofarfor-00001006"/>
    <hyperlink ref="F99" r:id="rId221" display="https://www.vseinstrumenti.ru/product/minikanal-ekoplast-mex-25x16-mm-2m-77007-2-1168335/"/>
    <hyperlink ref="I99" r:id="rId222" display="https://leroymerlin.ru/product/kabel-kanal-ekoplast-mex-25x16-mm-2-m-cvet-belyy-90287108/"/>
    <hyperlink ref="L99" r:id="rId223" display="https://ecoplast-opt.ru/ekoplast-mex25-16-minikanal-25h16mm-ognestojkost-e110-2m-77007-2-e110"/>
    <hyperlink ref="F100" r:id="rId224" display="https://www.etm.ru/cat/nn/9726743"/>
    <hyperlink ref="I100" r:id="rId225" display="https://www.chipdip.ru/product0/8002394683"/>
    <hyperlink ref="L100" r:id="rId226" display="https://alfasvet.pro/shop/product/pr-0540251-promrukav-kabel-kanal-40x25"/>
    <hyperlink ref="F101" r:id="rId227" display="https://leroymerlin.ru/product/kabelnaya-styazhka-suprlan-pod-vint-3x200-mm-neylon-cvet-belyy-100-sht-91123590/"/>
    <hyperlink ref="I101" r:id="rId228" display="https://www.chipdip.ru/product0/8007195212"/>
    <hyperlink ref="L101" r:id="rId229" display="https://www.vseinstrumenti.ru/product/nejlonovaya-styazhka-pod-vint-suprlan-3h200-mm-belaya-100pcs-06-1005-1363665/"/>
    <hyperlink ref="F102" r:id="rId230" display="https://www.etm.ru/cat/nn/4019286"/>
    <hyperlink ref="I102" r:id="rId231" display="https://www.vseinstrumenti.ru/product/nejlonovyj-homut-so-stalnym-zubom-ekf-proxima-b-4x200-100-sht-plc-fl-ctsbw-4x200-4767342/"/>
    <hyperlink ref="L102" r:id="rId232" display="https://www.minimaks.ru/product/styazhka-kabelnaya-khomut-4-8-200-s-montazhnym-otverstiem-chernaya-100-sht-upak-99699-npp-salyut/"/>
    <hyperlink ref="F103" r:id="rId233" display="https://www.vseinstrumenti.ru/product/montazhnyj-plastikovyj-homut-enkor-4-8x300-chernyj-100sht-29974-947192/"/>
    <hyperlink ref="I103" r:id="rId234" display="https://market.yandex.ru/product--stiazhka-kabelnaia-khomut-stiazhnoi-rexant-07-0303/1780747277?nid=69167&amp;show-uid=17001976493428393136916012&amp;context=search&amp;text=стяжка%20нейлон%204%2C6*300мм&amp;uniqueId=778912&amp;sku=581462200&amp;cpc=dH31AT8YsOXl3kboE9xThXz0YUu1Ge3Lj_kMEoMcEytmC52tfHGV3dwgVrmu_tlBchoHV-8lv-A6UpmA0N5b8uCyWoYJf3x3JrcfnHul7eN-k-Sza87TTXIAkD0e5tqvwlkkQ9VlEljvzkhET9ezb4jgwv3nT1vO3RU9SHDei1h66iRkJIRZNpRNT-xWoqBTgf4fA__G4jI%2C&amp;do-waremd5=Fo3YmfzLGwDHtGhZS_aPNQ&amp;rs=eJwdj79LglEYha9IQmtj07cErbr1w7hEEOhizYKO_gmNF0GcdC1ouTREhEKNotl1cNVBG5OLU5M4uNv3nOXw8txzz3nfQjNbyUwzJviLVO3jV6qmdJlq7BbRd9S3ULeFu5Mr_D29no4gkV8hDiFHzL6M1h-U05engYZPSMjJU4Mkh8x2oPwXiD9T4wf7-LZ4V1ut5b-lPbn-Jv-Y2T3jsT_ndO3UtZL_FR62zC47xi-nW-CJThv-qsuQUy-wWzITv4ObEU4z1aVzeHKv25t0uT_utW_wuFHXRF03ylyq5QC_fVJvXq8duN3rtarbS-N_IdiUtA%2C%2C"/>
    <hyperlink ref="L103" r:id="rId235" display="https://www.etm.ru/cat/nn/9869907"/>
    <hyperlink ref="F104" r:id="rId236" display="https://nevinnomyssk.kupi.ru/product/180-kley-spetsialnyy-moment-stolyar-770835763/"/>
    <hyperlink ref="I104" r:id="rId237" display="https://www.onlinetrade.ru/catalogue/kley-c3491/moment/kley_dlya_dereva_moment_stolyar_422981_250_g-545082.html"/>
    <hyperlink ref="L104" r:id="rId238" display="https://www.etm.ru/cat/nn/9869907"/>
    <hyperlink ref="F105" r:id="rId239" display="https://kraski-dl.ru/product/kraska-nerzhamet-ral-1028-zhyoltaya-dynya-antiko/"/>
    <hyperlink ref="I105" r:id="rId240" display="https://wooood.ru/catalog/emal/kraska_po_metallu_antikorrozionnaya_nerzhamet_10_kg/?oid=7108"/>
    <hyperlink ref="L105" r:id="rId241" display="https://color-servis.ru/catalog/soputstvuyushchie_tovary/anti_koroziynye_kraski/923/"/>
    <hyperlink ref="F106" r:id="rId242" display="https://kraski-dl.ru/product/kraska-nerzhamet-ral-6020-zelenyj-hrom-antikorrozionnaya-poluglyanczevaya-dlya-metalla-krasko/"/>
    <hyperlink ref="I106" r:id="rId243" display="https://ral.ru.com/catalog/kraski-ral/kraska-po-rzhavchine-ral/grunt-emal-nerzhamet-po-rzhavchine-poluglyantsevaya-3-v-1-8-kg/"/>
    <hyperlink ref="L106" r:id="rId244" display="https://spb-orion.ru/product/nerzhamet/"/>
    <hyperlink ref="F107" r:id="rId245" display="https://kraski-dl.ru/product/kraska-nerzhamet-ral-3001-signalnyj-krasnyj/"/>
    <hyperlink ref="I107" r:id="rId246" display="https://market.yandex.ru/catalog--emali/18060863/list?srnum=1&amp;was_redir=1&amp;rt=9&amp;rs=eJwdkD1Iw0AcxRNbm6JLHNRBJIeDg-Li5kchk3PRwfUQZzcddPDUwaKIOAmBQsDB4lAKUgVNNYNCMUovYDeRjG6Ki-Ci997y49279_-4m37Ile3NfLGb9Aa2p6u6mSp9pRs6MmpX6BtzbKQ7umV4fGH3FSvnR45b7x46OATfnYJ7kHYKj7YVPs8aylzJUDyB4de8of8DWqORYTYOHQd0TpCRb3TuQLHFzAi0fGHt6y1uJ-D7y3OoGmMygS-vocM2q04xPRtugQOgXEN_K09dQ63_jqT4gBYb97idZOcpcpF-Aqo6GK9zw1_W7vNdEt2sNuf2Q_sCm1gL6CCH4IhLznW55x9fV-Gth6TY49tXOGUV-Vix8yCYnUWcDq2qyKvPGUxZouOwmwftb_NnIm7SU_oHLUSnnw%2C%2C&amp;text=Нержамет%20красная&amp;hid=91605&amp;allowCollapsing=1&amp;local-offers-first=0&amp;glfilter=13887626%3A13891866"/>
    <hyperlink ref="L107" r:id="rId247" display="https://lkmflot.ru/kraski-i-emali/naruzhnye-i-vnutrennie/krasko/kraska-grunt-dlya-metalla-krasko-nerzhamet/"/>
    <hyperlink ref="F108" r:id="rId248" display="https://postroyka-nv.ru/catalog/show/Emal_NERZHAMETRAL7040seryj20kg"/>
    <hyperlink ref="I108" r:id="rId249" display="https://market.yandex.ru/product--profi-roof/1824487696/spec?track=char"/>
    <hyperlink ref="L108" r:id="rId250" display="https://ekb.pulscen.ru/products/grunt_emal_nerzhamet_49323632"/>
    <hyperlink ref="F109" r:id="rId251" display="https://color1.ru/alkidnaya-antikorrozionnaya-grunt-emal-indosingl-tsvet-ral-7032-1kg"/>
    <hyperlink ref="I109" r:id="rId252" display="https://profkolor.ru/goods/Kod-po-katalogu-RAL7032-2K-antikorrozijnaya-akrilovaya-grunt-jemal-Naimenovanie-kraski-Kieselgrau-Seraya-galka"/>
    <hyperlink ref="L109" r:id="rId253" display="https://leroymerlin-jeb.ru/tovary/stroitelstvo-i-remont/materialy/alkidnaya-antikorrozionnaya-grunt-emal-indosingl-cvet-ral-7034-1kg"/>
    <hyperlink ref="F110" r:id="rId254" display="https://www.bafus.ru/200716029/"/>
    <hyperlink ref="I110" r:id="rId255" display="https://kraski-dl.ru/product/kraska-nerzhamet-ral-9017-chyornyj-transportny/"/>
    <hyperlink ref="L110" r:id="rId256" display="https://postroyka-nv.ru/catalog/show/Emal_NERZHAMETRAL7040seryj20kg"/>
    <hyperlink ref="F111" r:id="rId257" display="https://new.optorg.ru/catalog/instrument_i_oborudovanie/rashodnye_materialy_i_osnastka/krugi_abrazivnye_otreznye_i_voylochnye/242843/"/>
    <hyperlink ref="I111" r:id="rId258" display="https://krasnodar.vseinstrumenti.ru/product/krug-otreznoj-po-metallu-a46tbf-125h1-2h22-2-mm-kraton-1-07-02-020-813119/"/>
    <hyperlink ref="L111" r:id="rId259" display="https://www.kubaninstrument.ru/catalog/item/krug_otreznoy_po_metallu_kraton_profi_a_46_tbf_125_1_2_22_2mm_10702020?ysclid=lnmx9w3rnw356368720"/>
    <hyperlink ref="F112" r:id="rId260" display="https://krasnodar.vseinstrumenti.ru/product/krug-otreznoj-po-metallu-a24tbf-125h3-0h22-2-mm-kraton-1-07-02-007-813100/?ysclid=lnmxk17cau549150643"/>
    <hyperlink ref="I112" r:id="rId261" display="https://www.chipdip.ru/product0/8742623902?ysclid=lnmxmck43l975463118"/>
    <hyperlink ref="L112" r:id="rId262" display="https://bs-shop.ru/product/krug-otreznoj-po-metallu-a24tbf-125h3-0h22-2-mm-kraton-1-07/"/>
    <hyperlink ref="F113" r:id="rId263" display="https://krepi-mir.ru/catalog/osnastka_i_raskhodnye_materialy/krugi_abrazivnye/krugi_po_metallu/190632/?ysclid=lnmypxia3u763067957"/>
    <hyperlink ref="I113" r:id="rId264" display="https://www.chipdip.ru/product1/8021359034?ysclid=lnmyaqcnxm877438314"/>
    <hyperlink ref="L113" r:id="rId265" display="https://avgit-tools.ru/catalog/osnastka_i_raskhodnye_materialy/raskhodnye-materialy-dlya-instrumenta/diski-abrazivnye/diski-abrazivnye-otreznye/diski-abrazivnye-otreznye-po-metallu/120719/"/>
    <hyperlink ref="F114" r:id="rId266" display="https://www.sovis.ru/catalog/abrazivnyj-instrument/krugiotrez/21/?ysclid=lnn9rmxd38595910647"/>
    <hyperlink ref="I114" r:id="rId267" display="https://specinstrument.ru/catalog/hand_tool/instrument_dlya_metalloobrabotki/abrazivnye_materialy/krugi_otreznye_po_metallu/krug_otreznoy_150kh3kh22_po_metallu_41_150_3_22_23_a_24_r_s_bf_80_2_ex_/?ysclid=lnn9q9c051980237603"/>
    <hyperlink ref="L114" r:id="rId268" display="https://terra-tools.ru/products/krug_otreznoy_po_metallu_luga_150kh3_0kh22_a_24_s_bf_80_14a_bu/?ysclid=lnn9nby9ae714993313"/>
    <hyperlink ref="F115" r:id="rId269" display="https://www.kuvalda.ru/catalog/4846/product-92818/?ysclid=lnmz7sg76l462328381"/>
    <hyperlink ref="I115" r:id="rId270" display="https://www.kubaninstrument.ru/catalog/item/krug_otreznoy_po_metallu_kraton_a_46_tbf_230_22_2_1_8_10702005?ysclid=lnmz7yzmjm174292801"/>
    <hyperlink ref="L115" r:id="rId271" display="https://new.optorg.ru/catalog/instrument_i_oborudovanie/rashodnye_materialy_i_osnastka/krugi_abrazivnye_otreznye_i_voylochnye/241265/?ysclid=lnmz5vno2k572219356"/>
    <hyperlink ref="F116" r:id="rId272" display="https://www.chipdip.ru/product0/8016294175"/>
    <hyperlink ref="I116" r:id="rId273" display="https://novorossiysk.vseinstrumenti.ru/product/lampa-iek-seriya-360-led-a60-prozrachnaya-11vt-230v-6500k-e27-llf-a60-11-230-65-e27-cl-1538944/?ysclid=lnn4s6w0qy287961277"/>
    <hyperlink ref="L116" r:id="rId274" display="https://leroymerlin.ru/product/lampa-svetodiodnaya-iek-llf-a60-11-230-65-e27-cl-e27-230-v-11-vt-grusha-prozrachnaya-1320-lm-holodnyy-belyy-svet-90786233/?ysclid=lnn4se219n366732498&amp;utm_referrer=https%3A%2F%2Fya.ru%2F"/>
    <hyperlink ref="F117" r:id="rId275" display="https://rs24.ru/product/479121"/>
    <hyperlink ref="I117" r:id="rId276" display="https://shop220.ru/902502212-lampa-svetodiodnaya-nizkovoltnaya-varton-12w-4000k-24-36v-ac-dc-e27-1000lm-60h125mm.htm"/>
    <hyperlink ref="L117" r:id="rId277" display="https://www.rusest.com/katalog/nizkovoltnye-svetilniki/nizkovoltnaya_svetodiodnaya_lampa_varton_12vt_e27_12v_ac_dc_4000k/"/>
    <hyperlink ref="F118" r:id="rId278" display="https://electrovent.ru/elektrotehnicheskie-tovary/lampy/energosberegayuschie-lampy/energosberegayuschaya-lampa-philips-softone-esaver-11w-827-e27-230-240v-t60/"/>
    <hyperlink ref="I118" r:id="rId279" display="https://ledgoods.ru/osveshchenie/lamps/lampy-ehnergosberegayushchie-kll/lampa-lyuminescentnaya-kll-genie-es-11w-ww-e27-220-240v-1pf-6-871150080119710-ph80119710-philips/"/>
    <hyperlink ref="L118" r:id="rId280" display="https://www.smartlamps.ru/products/softone-esaver-11w-827-e27-230-240v-t60-d60x114-philips-lampa"/>
    <hyperlink ref="F119" r:id="rId281" display="https://www.etm.ru/cat/nn/7877594?ysclid=lnndjacmiy1295913&amp;city=77"/>
    <hyperlink ref="I119" r:id="rId282" display="https://rs24.ru/product/18409"/>
    <hyperlink ref="L119" r:id="rId283" display="https://www.minimaks.ru/product/lampa-lineynaya-lyuminestsentnaya-ll-36vt-l-36w-765-t8-g13-kholodnaya-dnevnaya-smolensk-405289935283/?ysclid=lnndjf9y5h297468135"/>
    <hyperlink ref="F120" r:id="rId284" display="https://www.minimaks.ru/product/lampa-lineynaya-lyuminestsentnaya-ll-18vt-l18w-765-t8-g13-kholodnaya-dnevnaya-smolensk-4052899209084/?ysclid=lnn2jmmu1999012981"/>
    <hyperlink ref="I120" r:id="rId285" display="https://www.chipdip.ru/product0/8010880021?ysclid=lnn2jf9bim738384780"/>
    <hyperlink ref="L120" r:id="rId286" display="https://www.etm.ru/cat/nn/9734602?ysclid=lnn2j6sggf617444979&amp;city=77"/>
    <hyperlink ref="F121" r:id="rId287" display="https://terra-led.ru/svetilnik_aysberg_ip65/svetilnik-aysberg-40-vt-5000-lm-ip65-s-bap-na-1-5-chasa/"/>
    <hyperlink ref="I121" r:id="rId288" display="https://nevinnomyssk.kupi.ru/product/180-svetilnik-aysberg-40w-5000lm-ip65-877880802/"/>
    <hyperlink ref="L121" r:id="rId289" display="https://led-comp.ru/svetodiodnye-svetilniki/295611.html"/>
    <hyperlink ref="F122" r:id="rId290" display="https://www.vseinstrumenti.ru/product/lampa-lyuminestsentnaya-camelion-ft8-36w-54-6500k-3009-518866/"/>
    <hyperlink ref="I122" r:id="rId291" display="https://www.etm.ru/cat/nn/9453860"/>
    <hyperlink ref="L122" r:id="rId292" display="https://www.komus.ru/katalog/katalog-instrumentov/elektrika-i-svet/lampochki/lyuminestsentnye-lampy/lampa-lyuminestsentnaya-osram-l36w-830-36-vt-g13-t8-3000-k-4050300517896-25-shtuk-v-upakovke-/p/293404/?from=block-301-0_4"/>
    <hyperlink ref="F123" r:id="rId293" display="https://www.electro-mpo.ru/catalog/lampy_elektropatrony/l17_lampy_nakalivaniya_nizkogo_napryazheniya_rossi/l1710_lampa_60vt_mo_12_60_12v_e27_nakalivaniya_mes/"/>
    <hyperlink ref="I123" r:id="rId294" display="https://rubilnik.ru/catalog/lampy/lampy_nakalivaniya_1/lampa_nakalivaniya_standartnaya_lon_mo/47773/"/>
    <hyperlink ref="L123" r:id="rId295" display="https://connect.u-energo.ru/product/_Nff2465a9-d92e-11dd-a3cd-b6325bf879be"/>
    <hyperlink ref="F124" r:id="rId296" display="https://uprawa.ru/catalog/item/007185?ysclid=lnnbnb0zjq36284030"/>
    <hyperlink ref="I124" r:id="rId297" display="https://pitersvet.ru/pzh-220-500.html?ysclid=lnnb5muiqf322051008"/>
    <hyperlink ref="L124" r:id="rId298" display="https://electrictd.ru/catalog/lampy/lampy_prozhektornye_s_tsokolem_r7s_r40s_e40/lampa_nakalivaniya_prozhektornaya_pzh_500vt_5_220v_e40_lisma/?ysclid=lnnbnkell0896122352"/>
    <hyperlink ref="F125" r:id="rId299" display="https://rs24.ru/product/300603"/>
    <hyperlink ref="I125" r:id="rId300" display="https://navigator-light.ru/lamps/led/linejnyie-nll-t8/seriya-lamp-nll-t8/94064.html?ysclid=lnndotzqwm960631244"/>
    <hyperlink ref="L125" r:id="rId301" display="https://www.chipdip.ru/product0/8148733634?ysclid=lnndp1v7h7648054465"/>
    <hyperlink ref="F126" r:id="rId302" display="https://www.chipdip.ru/product0/8173557661?ysclid=lnnduye3ft880435890"/>
    <hyperlink ref="I126" r:id="rId303" display="https://rs24.ru/product/165966"/>
    <hyperlink ref="L126" r:id="rId304" display="https://www.etm.ru/cat/nn/1811446?ysclid=lnndurbfbl890260666&amp;city=77"/>
    <hyperlink ref="F127" r:id="rId305" display="https://ledpremium.ru/catalog/lampy-lyuminescentnye-dvuhcokolynye/lampa_lyuminestsentnaya_dvukhtsokolnaya_est14_t5_g5_21w_6400k/"/>
    <hyperlink ref="I127" r:id="rId306" display="https://www.etm.ru/cat/nn/9828096?city=77"/>
    <hyperlink ref="L127" r:id="rId307" display="https://dc-electro.ru/catalog/products/est14-t5-21w-g5-6400k/"/>
    <hyperlink ref="F128" r:id="rId308" display="https://flipzip.ru/product/energosberegaushhaya-kompaktnaya-lampa-dulux-superstar-micro-twist-15vt-827-e14-osram-4052899917750--45947470"/>
    <hyperlink ref="I128" r:id="rId309" display="https://electrikmart.ru/svetotehnicheskie-izdeliya/lampa-ljuminescentnaja-kompaktnaja-integrirovannaja/lampa-lyuminescentnaya-kompakt-dulux-superstar-micro-twist-15w827-15vt-e14-spiralnaya-2700k-osram-4052899917750"/>
    <hyperlink ref="L128" r:id="rId310" display="https://www.chipdip.ru/product0/8013319622"/>
    <hyperlink ref="F129" r:id="rId311" display="https://moskva.kupi.ru/product/173-lampa-svetodiodnaya-grusha-11vt-751804599/"/>
    <hyperlink ref="I129" r:id="rId312" display="https://svet-v-dome.ru/svet/lampy/lampy-energosberegayushchie/lampy-energosberegayushchie-wolta/lampa-energosberegayushchaya-r63-11vt-e27-2700k"/>
    <hyperlink ref="L129" r:id="rId313" display="https://satom.ru/p/1328123563-lampa-svetodiodnaya-philips-ecohome-bulb-840-e27-11-vt-4000-k-950-lm-grusha/"/>
    <hyperlink ref="F130" r:id="rId314" display="https://hoff.ru/catalog/tovary_dlya_doma/osveschenie/lampochki_i_soputstvuyuschie_tovary/lampy_svetodiodnye/lampa_svetodiodnaya_crystal_id9220389/?articul=80521779"/>
    <hyperlink ref="I130" r:id="rId315" display="https://www.mebelion.ru/catalog/VG10-A1E27cold15W-F.html"/>
    <hyperlink ref="L130" r:id="rId316" display="https://www.vamsvet.ru/catalog/product/lampa_svetodiodnaya_e27_15w_4000k_grusha_prozrachnaya_vg10_a1e27cold15w_f_7103/"/>
    <hyperlink ref="F131" r:id="rId317" display="https://rs24.ru/product/2791430"/>
    <hyperlink ref="I131" r:id="rId318" display="https://www.vseinstrumenti.ru/product/svetodiodnaya-lampa-ergolux-led-hw-65w-e40-6k-seriya-pro-65vt-e27-e40-6500k-150-260v-14330-2148745/"/>
    <hyperlink ref="L131" r:id="rId319" display="https://ledpremium.ru/catalog/lampy-svetodiodnye-vysokoy-moschnosti/lampa_svetodiodnaya_led_hw_65w_e40_6k_pro_65vt_e27_e40_6500k_150_260v_ergolux_14330/"/>
    <hyperlink ref="F132" r:id="rId320" display="https://www.etm.ru/cat/nn/9053610?city=77"/>
    <hyperlink ref="I132" r:id="rId321" display="https://electro-materiali.ru/catalog/lampy-istochniki-sveta/lampy-luminestsentnye/lampy-kompaktnye-lyuministsentnye-i-lyuministsentnye-uniel/102649/"/>
    <hyperlink ref="L132" r:id="rId322" display="https://elkon.su/lampa-energosberegayushchaya-kll-45-842-e27-d64x157-spiral-kosmos/"/>
    <hyperlink ref="F133" r:id="rId323" display="https://www.etm.ru/cat/nn/8539660"/>
    <hyperlink ref="I133" r:id="rId324" display="https://rs24.ru/product/2123801"/>
    <hyperlink ref="L133" r:id="rId325" display="https://www.vseinstrumenti.ru/product/metallorukav-fortisflex-r3-tspng-ls-16-s-protyazhkoj-87691-9137246/"/>
    <hyperlink ref="F134" r:id="rId326" display="https://nevinnomissk.promportal.su/goods/37468248/labomid-203.htm"/>
    <hyperlink ref="I134" r:id="rId327" display="https://fedexpert.ru/catalog/khimiya/moyushchie_sredstva/tekhnicheskie_moyushchie_sredstva/8594/"/>
    <hyperlink ref="L134" r:id="rId328" display="https://www.eko-tec.ru/product/5166279/"/>
    <hyperlink ref="F135" r:id="rId329" display="https://stavropol.pulscen.ru/products/labomid_203_fasovka_35_kg_59604586"/>
    <hyperlink ref="I135" r:id="rId330" display="https://www.aquateka.ru/?cat=products&amp;prod=tehnicheskoe-moyushee-sredstvo-labomid-203-40-kg-650040"/>
    <hyperlink ref="L135" r:id="rId331" display="https://www.td-polimer54.ru/goods/84558460-labomid_203"/>
    <hyperlink ref="F136" r:id="rId332" display="https://www.elektro.ru/product/nakonechnik_mednyy_luzhenyy_tl_16-8-6/"/>
    <hyperlink ref="I136" r:id="rId333" display="https://www.etm.ru/cat/nn/851292?city=77"/>
    <hyperlink ref="L136" r:id="rId334" display="https://ielectrik.ru/product/zeta_nakonechnik_mednyy_lujenyy_tml_16-8-6.html"/>
    <hyperlink ref="F137" r:id="rId335" display="https://www.etm.ru/cat/nn/9716468"/>
    <hyperlink ref="I137" r:id="rId336" display="https://www.electro-master.ru/catalog/nakonechniki_i_gilzy_mednye_tml_gml_nshp/nakonechnik_mednyy_luzhenyy_tml_10_5_5_kvt/"/>
    <hyperlink ref="L137" r:id="rId337" display="https://elektrikapro.ru/catalog/nakonechniki_gilzy_dlya_kabelya/661513/"/>
    <hyperlink ref="F138" r:id="rId338" display="https://www.vseinstrumenti.ru/product/plavkaya-vstavka-keaz-pn2-100-100a-u3-keaz-110863-1188899/"/>
    <hyperlink ref="I138" r:id="rId339" display="https://ledpremium.ru/catalog/plavkiy-predokhranitel-nizkovoltnyy-nozhevoy/vstavka_plavkaya_pn2_100_100a_u3_keaz_110863/"/>
    <hyperlink ref="L138" r:id="rId340" display="https://www.etm.ru/cat/nn/9767170"/>
    <hyperlink ref="F139" r:id="rId341" display="https://www.minimaks.ru/product/predokhranitel-160a-gabarit-00-ppn-33-160-160-fus-33-160-ekf/"/>
    <hyperlink ref="I139" r:id="rId342" display="https://www.etm.ru/cat/nn/7106459?city=77"/>
    <hyperlink ref="L139" r:id="rId343" display="https://www.vseinstrumenti.ru/product/plavkaya-vstavka-ekf-ppn-33-160-160a-gabarit-00-fus-33-160-2053806/"/>
    <hyperlink ref="F140" r:id="rId344" display="https://www.etm.ru/cat/nn/9767171"/>
    <hyperlink ref="I140" r:id="rId345" display="https://www.elprom-st.ru/predohraniteli-0-4-10-kv/nizkovoltnye-predohraniteli-obschepromyshlennye-gg-am/pn2-plavkie-predohraniteli/predohranitel_pn2-250-10_uhl3_250a"/>
    <hyperlink ref="L140" r:id="rId346" display="https://aps-shop.ru/predohranitel-pn2-250-100a-predohranitel-vstavka-plavkaya-nozh-med/"/>
    <hyperlink ref="F141" r:id="rId347" display="https://ems-market.ru/catalog/ustrojstva_zasity_plavkie_predohraniteli_modul_nye_ustrojstvamontaznye_ustrojstva/vstavka_cilindriceskogo_predohranitela/vstavka_plavkaya_npn2_60_63a_u3_keaz_110781/"/>
    <hyperlink ref="I141" r:id="rId348" display="https://aps-shop.ru/plavkaya-vstavka-npn-2-60-63a-110781-keaz/"/>
    <hyperlink ref="L141" r:id="rId349" display="https://orenburg.kupi.ru/product/204-predokhranitel-plavkaya-764673757/"/>
    <hyperlink ref="F142" r:id="rId350" display="https://electrika-dom-stroyka.ru/catalog/provoda-s-mednoy-tokoprovodyashchey-zhiloy/alfakabel-provod-soedinitelnyy-pvs-3kh2-5-trts/?ysclid=lnn2tuef1v442949685"/>
    <hyperlink ref="I142" r:id="rId351" display="https://novorossiysk.vseinstrumenti.ru/product/provod-pvs-alfakabel-3h2-5-mm-gost-10-m-05050-1490622/?ysclid=lnn2t7aeru675663942"/>
    <hyperlink ref="L142" r:id="rId352" display="https://www.etm.ru/cat/nn/7257354"/>
    <hyperlink ref="F143" r:id="rId353" display="https://www.vseinstrumenti.ru/product/svetodiodnyj-prozhektor-gauss-elementary-100w-9475lm-ip65-4000k-chernyj-1-4-613100110-1651565/"/>
    <hyperlink ref="I143" r:id="rId354" display="https://www.etm.ru/cat/nn/8135092?city=77"/>
    <hyperlink ref="L143" r:id="rId355" display="https://ledpremium.ru/catalog/day_white_foodlight/prozhektor_gauss_elementary_100w_9475lm_4000k_175_265v_ip65_chernyy_led/"/>
    <hyperlink ref="F144" r:id="rId356" display="https://www.etm.ru/cat/nn/6109840"/>
    <hyperlink ref="I144" r:id="rId357" display="https://elektrostandard.net/catalog/prozhektor_svetodiodnyy_ul_00007122_uniel_30w_ulf_f60_30w_rgb_ip65_200_240v_black/"/>
    <hyperlink ref="L144" r:id="rId358" display="https://mnogo-santehniki.ru/m634/p22040185?utm_referrer=https%3A%2F%2Fyandex.ru%2Fsearch%2F%3Ftext%3D%25D0%25A1%25D0%25B2%25D0%25B5%25D1%2582%25D0%25BE%25D0%25B4%25D0%25B8%25D0%25BE%25D0%25B4%25D0%25BD%25D1%258B%25D0%25B9%2B%25D0%25BF%25D1%2580%25D0%25BE%25D0%25B6%25D0%25B5%25D0%25BA%25D1%2582%25D0%25BE%25D1%2580%2BUniel%2B30W%2B3000K%2BIP65%2B200-250%25D0%2592%2BBLACK%2BULF-F21%2BUL-00007732%26clid%3D2714389%26win%3D619%26lr%3D11064%26p%3D3"/>
    <hyperlink ref="F145" r:id="rId359" display="https://feron-russia.ru/svetodiodnyj-prozhektor-feron-ll-926-ip65-300w-6400k"/>
    <hyperlink ref="I145" r:id="rId360" display="https://www.onlinetrade.ru/catalogue/prozhektory-c1495/feron/prozhektor_feron_ll_926_300w_6400k_29501_29501_feron-2618395.html"/>
    <hyperlink ref="L145" r:id="rId361" display="https://www.dialelectro.ru/catalog/svetodiodnye-prozhektory-/svetodiodnyy-prozhektor-feron-ll-926-ip65-300w-6400k/"/>
    <hyperlink ref="F146" r:id="rId362" display="https://innokor.ru/catalog/svetodiodnye-prozhektory/50vt/svetodiodnyy_prozhektor_pfl_as_50w_4000k_ip65/"/>
    <hyperlink ref="I146" r:id="rId363" display="https://dc-electro.ru/catalog/products/prozhektor-svetodiodnyy-pfl-s2-smd-50w-50vt-ip65-s-klapanom-jazzway-2853301d/"/>
    <hyperlink ref="L146" r:id="rId364" display="https://www.citilink.ru/product/prozhektor-ulichnyi-gauss-elementary-613527100-100vtchernyi-1382375/"/>
    <hyperlink ref="F147" r:id="rId365" display="https://leroymerlin.ru/product/prozhektor-svetodiodnyy-ulichnyy-uniel-f20-ul-00005157-6500-k-ip65-15000-lm-93809091/"/>
    <hyperlink ref="I147" r:id="rId366" display="https://ledpremium.ru/catalog/kholodnyy_belyy/philips_bvp150_led127_cw_150w_220_240v_4_160/"/>
    <hyperlink ref="L147" r:id="rId367" display="https://www.onlinetrade.ru/catalogue/prozhektory-c1495/uniel/prozhektor_uniel_ulf_f20_150w_4000k_ip65_195_250v_black_ul_00005156-2088377.html"/>
    <hyperlink ref="F148" r:id="rId368" display="https://www.vseinstrumenti.ru/product/svetodiodnyj-prozhektor-gauss-elementary-s-30w-2100lm-6500k-175-265v-ip65-chernyj-s-datchikom-dvizheniya-led-1-20-sq628511330-942646/"/>
    <hyperlink ref="I148" r:id="rId369" display="https://ledpremium.ru/catalog/kholodnyy_belyy/prozhektor_svetodiodnyy_qplus_30vt_6500k_2550lm_ip65_grafit_ser_1_10_gauss_690511330/"/>
    <hyperlink ref="L148" r:id="rId370" display="https://stavropol.220-volt.ru/catalog-580244/"/>
    <hyperlink ref="F149" r:id="rId371" display="https://www.vseinstrumenti.ru/product/samorez-bullit-shsmm-pressshajba-sverlo-4-2x16-200-sht-pl-kont-280-ml-14-0019090-1063063/"/>
    <hyperlink ref="I149" r:id="rId372" display="https://www.mdm-complect.ru/catalog/samorezy/8917/"/>
    <hyperlink ref="L149" r:id="rId373" display="https://1001krep.ru/samorez-din-7504p-s-potaynoy-golovkoy-sverlom-nerzh-a2-3-5x16mm-artikul-57168"/>
    <hyperlink ref="F150" r:id="rId374" display="https://stavropol.leroymerlin.ru/product/samorezy-s-press-shayboy-standers-42x25-ocinkovannye-s-ostrym-nakonechnikom-82182112/"/>
    <hyperlink ref="I150" r:id="rId375" display="https://krepcom.ru/catalog/samorezy/samorezyi_4_2h25_pressshayba__sverlo__tsink_10000_.htm"/>
    <hyperlink ref="L150" r:id="rId376" display="https://mnogo-santehniki.ru/m553/p14716?utm_referrer=https%3A%2F%2Fyandex.ru%2Fsearch%2F%3Ftext%3D%25D1%2581%25D0%25B0%25D0%25BC%25D0%25BE%25D1%2580%25D0%25B5%25D0%25B7%25D1%258B%2B%25D1%2581%2B%25D0%25BF%25D1%2580%25D0%25B5%25D1%2581%25D1%2581-%25D1%2588%25D0%25B0%25D0%25B9%25D0%25B1%25D0%25BE%25D0%25B9%2Bstanders%2B4.2x25%2B%25D0%25BE%25D1%2586%25D0%25B8%25D0%25BD%25D0%25BA%25D0%25BE%25D0%25B2%25D0%25B0%25D0%25BD%25D0%25BD%25D1%258B%25D0%25B5%2B%25D1%2581%2B%25D0%25BE%25D1%2581%25D1%2582%25D1%2580%25D1%258B%25D0%25BC%2B%25D0%25BD%25D0%25B0%25D0%25BA%25D0%25BE%25D0%25BD%25D0%25B5%25D1%2587%25D0%25BD%25D0%25B8%25D0%25BA%25D0%25BE%25D0%25BC%252C%2B20%2B%25D1%2588%25D1%2582.%2B%25D1%2586%25D0%25B5%25D0%25BD%25D0%25B0%26lr%3D11064%26clid%3D2714389%26win%3D619%26src%3Dsuggest_Pers"/>
    <hyperlink ref="F151" r:id="rId377" display="https://leroymerlin.ru/product/samorezy-s-press-shayboy-standers-42x32-ocinkovannye-s-ostrym-nakonechnikom-82182121/"/>
    <hyperlink ref="I151" r:id="rId378" display="https://www.etm.ru/cat/nn/2047905?city=77"/>
    <hyperlink ref="L151" r:id="rId379" display="https://mnogo-santehniki.ru/m553/p14667"/>
    <hyperlink ref="F152" r:id="rId380" display="https://energo-vector.ru/catalog/ofisnye-svetodiodnye-svetilniki/svetilniki-armstrong/1100/"/>
    <hyperlink ref="I152" r:id="rId381" display=" https://colorsvet.ru/svetodiodnye-svetilniki-armstrong-595x595/svetodiodnyj-svetilnik-varton-a070-27w-ip20-3000k-v1-a0-00070-01000-2002730"/>
    <hyperlink ref="L152" r:id="rId382" display="https://inventrade.ru/catalog/vnutrennee_osveshchenie/ofisnoe_osveshchenie/varton_a070/"/>
    <hyperlink ref="F153" r:id="rId383" display="http://comoflight.com/ulichnyy-svetilnik-matrix-s-150/?ysclid=lnnebctuin317572966"/>
    <hyperlink ref="I153" r:id="rId384" display="http://td-intesso.regtorg.ru/catalog/ulichnyj_svetodiodnyj_svetilnik_matrix_s150-154355.htm"/>
    <hyperlink ref="L153" r:id="rId385" display="https://td-intesso.ctly.ru/products/b3691763-matrix-s-150-svetilnik-ulichnyy-svetodiodnyy"/>
    <hyperlink ref="F154" r:id="rId386" display="https://www.vseinstrumenti.ru/product/lampa-gauss-led-elementary-a60-15w-e27-1480lm-6500k-23235-942504/"/>
    <hyperlink ref="I154" r:id="rId387" display="https://www.etm.ru/cat/nn/8532745"/>
    <hyperlink ref="L154" r:id="rId388" display="https://leroymerlin.ru/product/lampa-svetodiodnaya-osram-grusha-15vt-1521lm-e27-holodnyy-belyy-svet-85099643/"/>
    <hyperlink ref="F155" r:id="rId389" display="https://www.eldorado.ru/cat/detail/svetodiodnaya-lampa-era-led-smd-a60-10w-827-e27/"/>
    <hyperlink ref="I155" r:id="rId390" display="https://www.onlinetrade.ru/catalogue/lampy_svetodiodnye-c4529/era/svetodiodnaya_lampa_era_led_smd_a60_10w_827_e27_6_30_1440-298841.html"/>
    <hyperlink ref="L155" r:id="rId391" display="https://www.nix.ru/autocatalog/LED_Light_Bulbs_E27/ERA-smd-A60-15W-827-E27-E27-1300-lyumen-2700K-15Vt-170-265V_295702.html"/>
    <hyperlink ref="F156" r:id="rId392" display="https://ledpremium.ru/catalog/nakladnye_svetilniki_zhkkh/svetilnik_svetodiodnyy_spo_102_32vt_230v_4000k_2400lm_1200mm_ip40_llt/"/>
    <hyperlink ref="I156" r:id="rId393" display="https://top10deals.ru/product/pid/182011429/Svetodiodnyy-svetilnik-LLT-SPO-102-32Vt-4000K-2400Lm-119-sm"/>
    <hyperlink ref="L156" r:id="rId394" display="https://lt-electro.ru/catalog/nakladnye/5641/"/>
    <hyperlink ref="F157" r:id="rId395" display="https://moscow.propartner.ru/offers_market/7064629025"/>
    <hyperlink ref="I157" r:id="rId396" display="https://e-kvadrat.ru/starter-127v"/>
    <hyperlink ref="L157" r:id="rId397" display="https://zanex.ru/product/starter-127v-20s-127-1-15-6920-master-svet/4719c343e96060a341571213e94eb174"/>
    <hyperlink ref="F158" r:id="rId398" display="https://krasnodar.specstali.ru/product/folga-latunnaja-dlja-pajki-l63-0-05-mm-gost-2208-2007-listovaja/"/>
    <hyperlink ref="I158" r:id="rId399" display="https://metall-77.ru/folga-latunnaya"/>
    <hyperlink ref="L158" r:id="rId400" display="https://snabservis.ru/catalog/latunnaya-folga/"/>
    <hyperlink ref="F159" r:id="rId401" display="https://www.chipdip.ru/product0/8020896219?ysclid=lnn6nxbnt8164677727"/>
    <hyperlink ref="I159" r:id="rId402" display="https://www.etm.ru/cat/nn/1305885"/>
    <hyperlink ref="L159" r:id="rId403" display="https://novorossiysk.vseinstrumenti.ru/product/lentochnaya-homut-styazhka-gigant-3-6h200-chernyj-100-sht-g-1-4-2037732/?ysclid=lnn6ov04tq668499250"/>
    <hyperlink ref="F160" r:id="rId404" display="https://www.chipdip.ru/product0/8000857412?ysclid=lnn6yrdvej14939793"/>
    <hyperlink ref="I160" r:id="rId405" display="https://new.optorg.ru/catalog/elektrotehnicheskaya_produkciya/elektromontajnye_izdeliya/homuty_i_styajki_kabelnye/277580/?ysclid=lnn6y9w5n3226187849"/>
    <hyperlink ref="L160" r:id="rId406" display="https://www.etm.ru/cat/nn/9809407"/>
    <hyperlink ref="F161" r:id="rId407" display="https://www.etm.ru/cat/nn/7210110"/>
    <hyperlink ref="I161" r:id="rId408" display="https://rs24.ru/product/618902"/>
    <hyperlink ref="L161" r:id="rId409" display="https://www.elektro.ru/product/styazhki_neylonovye_kss_5300_ch_100sht_fortisflex_49417_49417_2/?ysclid=lnn778h5gx266314908"/>
    <hyperlink ref="F162" r:id="rId410" display="https://new.optorg.ru/catalog/elektrotehnicheskaya_produkciya/elektromontajnye_izdeliya/homuty_i_styajki_kabelnye/279809/"/>
    <hyperlink ref="I162" r:id="rId411" display="https://tze1.ru/catalog/krepezh/spetsialnyy-krepezh/homuty-i-styazhki/homuty-plastikovye/homut-kabelnyy-7-6h500-neyl-bel-uhh31-d076-500-100/?ysclid=lnn7q3y240146790815"/>
    <hyperlink ref="L162" r:id="rId412" display="https://www.minimaks.ru/product/styazhka-kabelnaya-khomut-500-7-6-neylon-iek-up-100sht-uhh31-d076-500-100/?ysclid=lnn7pvwvms421878260"/>
    <hyperlink ref="F163" r:id="rId413" display="https://www.onlinetrade.ru/catalogue/shlangi-c3240/mi/shlang_sadovyy_rezinovyy_kordovyy_rukav_d_20_mm_50_m_67556_4620764605028-2149868.html"/>
    <hyperlink ref="I163" r:id="rId414" display="https://liderstroyinstrument.ru/catalog/shlangi-dlya-nasosnogo-oborudovaniya/shlang-polivochnyy-rezin-kord-armirov-50-m-bukhta-d-20mm-rostov/"/>
    <hyperlink ref="L163" r:id="rId415" display="https://www.vseinstrumenti.ru/product/polivochnyj-shlang-novem-tep-20-mm-h-50-m-20-0-5-vg-1927050/"/>
    <hyperlink ref="F164" r:id="rId416" display="https://www.etm.ru/cat/nn/5855615?ysclid=lnn5m5mzts973605632&amp;city=77"/>
    <hyperlink ref="I164" r:id="rId417" display="https://rs24.ru/product/749486"/>
    <hyperlink ref="F165" r:id="rId418" display="https://www.vseinstrumenti.ru/product/montazhnyj-klej-ceresit-cb-10-1864068-3014720/"/>
    <hyperlink ref="I165" r:id="rId419" display="https://ts-krovizol.ru/catalog/product/akrilovyy-montazhnyy-kley-ceresit-cb-10-400-gr/"/>
    <hyperlink ref="L165" r:id="rId420" display="https://www.stroyshopper.ru/product/klej_montazhnyj_akrilovyj_ceresit_cb_10/"/>
    <hyperlink ref="F166" r:id="rId421" display="https://www.mirkrasok.ru/product/ceresit_cn_178_tserezit_smes_legko_vyravnivayushchayasya/sku_184941/"/>
    <hyperlink ref="I166" r:id="rId422" display="https://profiplitka.ru/product/ceresit-cn-76-vysokoprochnaja-samovyravnivajuschajasja-tsementnaja-smes-ot-4-do-15-50-mm-25-kg/"/>
    <hyperlink ref="L166" r:id="rId423" display="https://ts-krovizol.ru/catalog/product/samovyravnivayushchayasya-tsementnaya-smes-ceresit-cn-76-25-kg/?utm_source=stroyportal&amp;utm_medium=tag&amp;utm_campaign=moskva&amp;utm_term=1584431348722160720&amp;utm_content=24525&amp;strprtl=8fec4d06960f903a983c8359bb307ba9"/>
    <hyperlink ref="F167" r:id="rId424" display="https://www.mirkrasok.ru/product/ceresit_cs_24_premium_universal_tserezit_germetik_silikonovyy_universalnyy/"/>
    <hyperlink ref="I167" r:id="rId425" display="https://www.kraski-market.ru/catalog/germetiki_i_montazhnaya_pena/silikonovye_germetiki/"/>
    <hyperlink ref="L167" r:id="rId426" display="ceresit_cs_24_premium_universal_germetik_universalnyy_silikonovyy_prozrachnyy_280ml"/>
    <hyperlink ref="F168" r:id="rId427" display="https://ceresit-russia.ru/ceresit-ct29-fasovka-25-kg/"/>
    <hyperlink ref="I168" r:id="rId428" display="https://rdstroy.ru/catalog/shpatlevki_tsementnye/ct_225_25_shpatlyevka_fasad_finish_belaya_48_sht_pod_ceresit/"/>
    <hyperlink ref="L168" r:id="rId429" display="https://alea.shop/shpaklevka-cementnaya-belaya-ceresit-st-225-25-kg/"/>
    <hyperlink ref="F169" r:id="rId430" display="https://rdstroy.ru/catalog/shtukaturki_tsementnye/ct_29_25_shtukat_i_remont_shpatlyevka_25_kg_48sht_pod_ceresit/"/>
    <hyperlink ref="I169" r:id="rId431" display="https://ru-ceresit.com/ceresit-ct-29-2/"/>
    <hyperlink ref="L169" r:id="rId432" display="https://rdstroy.ru/catalog/shtukaturki_tsementnye/ct_29_25_shtukat_i_remont_shpatlyevka_25_kg_48sht_pod_ceresit/"/>
    <hyperlink ref="F170" r:id="rId433" display="https://ceresit-market.ru/catalog/klei-dlya-plitki/cm-14-extra-kley-d-plitki/"/>
    <hyperlink ref="I170" r:id="rId434" display="https://www.mirkrasok.ru/product/ceresit_cm_14_extra_tserezit_kley_dlya_plitki_i_keramogranita/"/>
    <hyperlink ref="L170" r:id="rId435" display="https://profiplitka.ru/product/ceresit-sm-14-extra-25-kg/"/>
    <hyperlink ref="F171" r:id="rId436" display="https://kraskivmoskve.ru/product/ceresit-ts-62tserezit-ts-62-universalnaya-montazhnaya-pena"/>
    <hyperlink ref="I171" r:id="rId437" display="https://ceresitshop.ru/catalog/penyi-germetiki-klei/penyi/ceresit-ts-62"/>
    <hyperlink ref="L171" r:id="rId438" display="https://www-fasad.ru/pena-montazhnaya-ceresit-ts-62-universalnaya-750-ml/"/>
    <hyperlink ref="F172" r:id="rId439" display="https://moscow.petrovich.ru/product/102860/?ysclid=lnn6bm9c4n822490262"/>
    <hyperlink ref="I172" r:id="rId440" display="https://www.termokit.ru/product/zatirka_ceresit_se_40_2_aquastatic_vodoottalkivayushchaya_belaya_01_2_kg.htm"/>
    <hyperlink ref="L172" r:id="rId441" display="https://www.kraski.ru/catalog/ceresit_se_40_aquastatic_tserezit_tse_40_akvasatik_zatirka_dlya_shvov_do_10_mm_vodoottalkivayushchaya/?ysclid=lnn6bk9zgx457384661"/>
    <hyperlink ref="I173" r:id="rId442" display="https://www.chipdip.ru/product0/8008857921"/>
    <hyperlink ref="L173" r:id="rId443" location="searchQuery=Грунт-эмаль+по+ржавчине+HardMax+Корроед+RAL+5015+голубой&amp;searchType=srp" display="https://novorossiysk.vseinstrumenti.ru/product/grunt-emal-po-rzhavchine-hardmax-korroed-ral-5015-goluboj-banka-0-9-kg-1-sht-4690417077977-1853240/#searchQuery=Грунт-эмаль+по+ржавчине+HardMax+Корроед+RAL+5015+голубой&amp;searchType=srp"/>
    <hyperlink ref="F174" r:id="rId444" display="https://uni-fitt.shop/collection/baki-membannye/baki-rasshiritelnye-reflex/8210500.html?ysclid=lnn1xbpop1865454036"/>
    <hyperlink ref="I174" r:id="rId445" display="https://teplo-com.ru/catalog/179460/"/>
    <hyperlink ref="L174" r:id="rId446" display="https://www.teremonline.ru/catalog/inzhenernaya-santekhnika/membrannye-baki/3524_dlya-sistem-otopleniya/reflex-membrannyy-bak-s-100/?ysclid=lnn1x7fqoo281338246"/>
    <hyperlink ref="F175" r:id="rId447" display="https://zamkitut.ru/catalog/zamki/navesnye-zamki/chaz/navesnoy-zamok-chaz-vs2a/"/>
    <hyperlink ref="I175" r:id="rId448" display="https://vertical.ru/product/navesnoy-zamok-chaz-vs2a/"/>
    <hyperlink ref="L175" r:id="rId449" display="https://zamki34.ru/collection/zamki-navesnye-trosovye/product/zamok-navesnoy-chaz-vs2a-5665"/>
    <hyperlink ref="F176" r:id="rId450" display="https://megamarket.ru/catalog/details/kraska-vgt-akrilovaya-vd-ak-1180-fasadnaya-superbelaya-vlagostoykaya-matovaya-bescvetnyy-13-kg-100051813645/?utm_source=yandex&amp;utm_medium=cpc&amp;utm_campaign=smm_search_dsa%3A4_stroitelstvo_i_remont_cb_%5Bregions%5D_%7C86121008%7C&amp;utm_term=3771611.13887207686.&amp;utm_content=5171123321.premium.1.16262686.none.11064.Невинномысск&amp;adjust_ya_click_id=1828704582133088255&amp;adjust_campaign=smm_search_dsa%3A4_stroitelstvo_i_remont_cb_%5Bregions%5D&amp;adjust_tracker=4a3jxi1_j6n0ehs&amp;yclid=1828704582133088255"/>
    <hyperlink ref="I176" r:id="rId451" display="https://nevinnomyssk.kupi.ru/product/180-kraska-fasadnaya-vdak-brigada-753362282/"/>
    <hyperlink ref="L176" r:id="rId452" display="https://radugakraski.ru/katalog/kraski/dlya-mineralnyh-fasadov/vdak-1180z/?oid=19643"/>
    <hyperlink ref="F177" r:id="rId453" display="https://oknabm.ru/catalog/accessories/steklopaket/odnokamernye-steklopakety/1k-steklopaket-4-16-4/"/>
    <hyperlink ref="I177" r:id="rId454" display="https://www.relit.ru/price-replace-window.htm"/>
    <hyperlink ref="L177" r:id="rId455" display="https://www.eurookna.ru/steklopakety/tsena-za-m2/"/>
    <hyperlink ref="F178" r:id="rId456" display="https://new.optorg.ru/catalog/stroitelnye_i_otdelochnye_materialy/suhie_stroitelnye_smesi/shpatlevka/270086/"/>
    <hyperlink ref="I178" r:id="rId457" display="https://nvs-stroy.ru/catalogue/11102/6440/?ysclid=lnn04m2n59102945093"/>
    <hyperlink ref="L178" r:id="rId458" display="https://gorodmasterov23.ru/shop/stroitelnye-i-otdelochnye-materialy/suhie-smesi/shpatlevki/abs-saten-inter-shpatlevka-5-0-kg/?ysclid=lnn07ta0q9177616528"/>
    <hyperlink ref="F179" r:id="rId459" display="https://new.optorg.ru/catalog/instrument_i_oborudovanie/elektrosvarochnoe_oborudovanie/elektrody/242388/"/>
    <hyperlink ref="I179" r:id="rId460" display="https://www.svarcka.ru/svarochnye-materialy/elektrody-dlya-svarki/3-1-381-detail.html"/>
    <hyperlink ref="L179" r:id="rId461" display="https://krasnodar.vseinstrumenti.ru/product/elektrody-svarochnye-ano-21-1-kg-3-mm-tigarbo-te-213010009-1933705/?ysclid=lnmzpk2gss399476481"/>
  </hyperlinks>
  <printOptions headings="false" gridLines="false" gridLinesSet="true" horizontalCentered="false" verticalCentered="false"/>
  <pageMargins left="0.25" right="0.25" top="0.75" bottom="0.75" header="0.511811023622047" footer="0.511811023622047"/>
  <pageSetup paperSize="9" scale="35" fitToWidth="1" fitToHeight="1" pageOrder="downThenOver" orientation="landscape" blackAndWhite="false" draft="false" cellComments="none" horizontalDpi="300" verticalDpi="300" copies="1"/>
  <headerFooter differentFirst="false" differentOddEven="false">
    <oddHeader/>
    <oddFooter/>
  </headerFooter>
  <drawing r:id="rId462"/>
  <legacyDrawing r:id="rId46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R130"/>
  <sheetViews>
    <sheetView showFormulas="false" showGridLines="true" showRowColHeaders="true" showZeros="true" rightToLeft="false" tabSelected="false" showOutlineSymbols="true" defaultGridColor="true" view="pageBreakPreview" topLeftCell="A1" colorId="64" zoomScale="75" zoomScaleNormal="90" zoomScalePageLayoutView="75" workbookViewId="0">
      <pane xSplit="6" ySplit="10" topLeftCell="G17" activePane="bottomRight" state="frozen"/>
      <selection pane="topLeft" activeCell="A1" activeCellId="0" sqref="A1"/>
      <selection pane="topRight" activeCell="G1" activeCellId="0" sqref="G1"/>
      <selection pane="bottomLeft" activeCell="A17" activeCellId="0" sqref="A17"/>
      <selection pane="bottomRight" activeCell="H15" activeCellId="0" sqref="H15"/>
    </sheetView>
  </sheetViews>
  <sheetFormatPr defaultColWidth="8.8046875" defaultRowHeight="12.8" zeroHeight="false" outlineLevelRow="0" outlineLevelCol="1"/>
  <cols>
    <col collapsed="false" customWidth="true" hidden="false" outlineLevel="0" max="1" min="1" style="1" width="9.52"/>
    <col collapsed="false" customWidth="true" hidden="false" outlineLevel="0" max="2" min="2" style="1" width="49.51"/>
    <col collapsed="false" customWidth="true" hidden="false" outlineLevel="0" max="3" min="3" style="1" width="58.8"/>
    <col collapsed="false" customWidth="true" hidden="false" outlineLevel="0" max="4" min="4" style="1" width="14.23"/>
    <col collapsed="false" customWidth="true" hidden="false" outlineLevel="0" max="5" min="5" style="1" width="20.51"/>
    <col collapsed="false" customWidth="true" hidden="false" outlineLevel="0" max="6" min="6" style="1" width="15.95"/>
    <col collapsed="false" customWidth="true" hidden="false" outlineLevel="0" max="7" min="7" style="1" width="20.24"/>
    <col collapsed="false" customWidth="true" hidden="false" outlineLevel="0" max="8" min="8" style="1" width="23.37"/>
    <col collapsed="false" customWidth="true" hidden="false" outlineLevel="0" max="9" min="9" style="1" width="26.09"/>
    <col collapsed="false" customWidth="true" hidden="false" outlineLevel="0" max="10" min="10" style="1" width="28.09"/>
    <col collapsed="false" customWidth="true" hidden="false" outlineLevel="0" max="11" min="11" style="1" width="27.23"/>
    <col collapsed="false" customWidth="true" hidden="false" outlineLevel="0" max="12" min="12" style="1" width="21.23"/>
    <col collapsed="false" customWidth="true" hidden="false" outlineLevel="0" max="13" min="13" style="1" width="24.23"/>
    <col collapsed="false" customWidth="true" hidden="false" outlineLevel="0" max="14" min="14" style="1" width="27.51"/>
    <col collapsed="false" customWidth="true" hidden="false" outlineLevel="0" max="15" min="15" style="1" width="26.37"/>
    <col collapsed="false" customWidth="true" hidden="false" outlineLevel="0" max="18" min="16" style="1" width="23.37"/>
    <col collapsed="false" customWidth="true" hidden="false" outlineLevel="0" max="19" min="19" style="1" width="40.66"/>
    <col collapsed="false" customWidth="true" hidden="true" outlineLevel="1" max="23" min="21" style="1" width="12.95"/>
    <col collapsed="false" customWidth="true" hidden="false" outlineLevel="0" max="25" min="24" style="1" width="10.8"/>
    <col collapsed="false" customWidth="true" hidden="false" outlineLevel="0" max="28" min="26" style="1" width="13.09"/>
    <col collapsed="false" customWidth="true" hidden="false" outlineLevel="0" max="29" min="29" style="1" width="15.37"/>
    <col collapsed="false" customWidth="true" hidden="false" outlineLevel="0" max="31" min="30" style="1" width="18.23"/>
    <col collapsed="false" customWidth="true" hidden="false" outlineLevel="0" max="32" min="32" style="1" width="16.51"/>
    <col collapsed="false" customWidth="true" hidden="false" outlineLevel="0" max="33" min="33" style="1" width="15.51"/>
    <col collapsed="false" customWidth="true" hidden="false" outlineLevel="0" max="34" min="34" style="1" width="16.8"/>
    <col collapsed="false" customWidth="true" hidden="false" outlineLevel="0" max="36" min="35" style="1" width="14.66"/>
    <col collapsed="false" customWidth="true" hidden="false" outlineLevel="0" max="37" min="37" style="1" width="21.09"/>
    <col collapsed="false" customWidth="true" hidden="false" outlineLevel="0" max="38" min="38" style="1" width="12.66"/>
    <col collapsed="false" customWidth="true" hidden="false" outlineLevel="0" max="39" min="39" style="1" width="16.8"/>
    <col collapsed="false" customWidth="true" hidden="false" outlineLevel="0" max="40" min="40" style="1" width="10.09"/>
    <col collapsed="false" customWidth="true" hidden="false" outlineLevel="0" max="41" min="41" style="1" width="10.8"/>
    <col collapsed="false" customWidth="true" hidden="false" outlineLevel="0" max="44" min="42" style="1" width="11.09"/>
  </cols>
  <sheetData>
    <row r="1" customFormat="false" ht="15" hidden="true" customHeight="true" outlineLevel="0" collapsed="false">
      <c r="P1" s="2" t="s">
        <v>0</v>
      </c>
      <c r="Q1" s="2"/>
      <c r="R1" s="2"/>
      <c r="S1" s="2"/>
    </row>
    <row r="2" customFormat="false" ht="32.25" hidden="true" customHeight="true" outlineLevel="0" collapsed="false">
      <c r="P2" s="3" t="s">
        <v>1</v>
      </c>
      <c r="Q2" s="3"/>
      <c r="R2" s="3"/>
      <c r="S2" s="3"/>
    </row>
    <row r="3" customFormat="false" ht="25.5" hidden="true" customHeight="true" outlineLevel="0" collapsed="false">
      <c r="A3" s="4" t="s">
        <v>2</v>
      </c>
      <c r="B3" s="4"/>
      <c r="C3" s="4"/>
      <c r="D3" s="4"/>
      <c r="E3" s="4"/>
      <c r="F3" s="4"/>
      <c r="G3" s="4"/>
      <c r="H3" s="4"/>
      <c r="I3" s="4"/>
      <c r="J3" s="4"/>
      <c r="K3" s="4"/>
      <c r="L3" s="4"/>
      <c r="M3" s="4"/>
      <c r="N3" s="4"/>
      <c r="O3" s="4"/>
      <c r="P3" s="4"/>
      <c r="Q3" s="5"/>
      <c r="R3" s="5"/>
    </row>
    <row r="4" customFormat="false" ht="17.25" hidden="true" customHeight="true" outlineLevel="0" collapsed="false">
      <c r="A4" s="6"/>
      <c r="B4" s="6"/>
      <c r="C4" s="6"/>
      <c r="D4" s="6"/>
      <c r="E4" s="6"/>
      <c r="F4" s="6"/>
      <c r="G4" s="6"/>
      <c r="H4" s="6"/>
      <c r="I4" s="6"/>
      <c r="J4" s="6"/>
      <c r="K4" s="6"/>
      <c r="L4" s="6"/>
      <c r="M4" s="6"/>
      <c r="N4" s="6"/>
      <c r="O4" s="6"/>
    </row>
    <row r="5" s="8" customFormat="true" ht="28.5" hidden="true" customHeight="true" outlineLevel="0" collapsed="false">
      <c r="A5" s="7" t="s">
        <v>3</v>
      </c>
      <c r="B5" s="7"/>
      <c r="C5" s="7"/>
      <c r="D5" s="7"/>
      <c r="E5" s="7"/>
      <c r="F5" s="7"/>
      <c r="G5" s="7"/>
      <c r="H5" s="7"/>
      <c r="I5" s="7"/>
      <c r="J5" s="7"/>
      <c r="K5" s="7"/>
      <c r="L5" s="7"/>
      <c r="M5" s="7"/>
      <c r="N5" s="7"/>
      <c r="O5" s="7"/>
      <c r="P5" s="7"/>
      <c r="Q5" s="7"/>
    </row>
    <row r="6" s="8" customFormat="true" ht="15" hidden="true" customHeight="true" outlineLevel="0" collapsed="false"/>
    <row r="7" s="8" customFormat="true" ht="15.75" hidden="false" customHeight="true" outlineLevel="0" collapsed="false">
      <c r="A7" s="9" t="s">
        <v>4</v>
      </c>
      <c r="B7" s="77" t="s">
        <v>691</v>
      </c>
      <c r="C7" s="10" t="s">
        <v>5</v>
      </c>
      <c r="D7" s="11" t="s">
        <v>6</v>
      </c>
      <c r="E7" s="11" t="s">
        <v>7</v>
      </c>
      <c r="F7" s="12" t="s">
        <v>8</v>
      </c>
      <c r="G7" s="13" t="s">
        <v>9</v>
      </c>
      <c r="H7" s="13"/>
      <c r="I7" s="13"/>
      <c r="J7" s="13" t="s">
        <v>10</v>
      </c>
      <c r="K7" s="13"/>
      <c r="L7" s="13"/>
      <c r="M7" s="14" t="s">
        <v>11</v>
      </c>
      <c r="N7" s="14"/>
      <c r="O7" s="14"/>
      <c r="P7" s="15" t="s">
        <v>12</v>
      </c>
      <c r="Q7" s="16" t="s">
        <v>13</v>
      </c>
      <c r="R7" s="15" t="s">
        <v>14</v>
      </c>
      <c r="S7" s="11" t="s">
        <v>15</v>
      </c>
      <c r="U7" s="17" t="s">
        <v>16</v>
      </c>
      <c r="V7" s="17"/>
      <c r="W7" s="17"/>
      <c r="AC7" s="78" t="s">
        <v>9</v>
      </c>
      <c r="AD7" s="78"/>
      <c r="AE7" s="78"/>
      <c r="AF7" s="79" t="s">
        <v>10</v>
      </c>
      <c r="AG7" s="79"/>
      <c r="AH7" s="79"/>
      <c r="AI7" s="80" t="s">
        <v>11</v>
      </c>
      <c r="AJ7" s="80"/>
      <c r="AK7" s="80"/>
      <c r="AL7" s="81" t="s">
        <v>692</v>
      </c>
      <c r="AM7" s="81" t="s">
        <v>693</v>
      </c>
    </row>
    <row r="8" s="8" customFormat="true" ht="15.75" hidden="false" customHeight="true" outlineLevel="0" collapsed="false">
      <c r="A8" s="9"/>
      <c r="B8" s="77"/>
      <c r="C8" s="10"/>
      <c r="D8" s="10"/>
      <c r="E8" s="10"/>
      <c r="F8" s="12"/>
      <c r="G8" s="13"/>
      <c r="H8" s="13"/>
      <c r="I8" s="13"/>
      <c r="J8" s="13"/>
      <c r="K8" s="13"/>
      <c r="L8" s="13"/>
      <c r="M8" s="14"/>
      <c r="N8" s="14"/>
      <c r="O8" s="14"/>
      <c r="P8" s="15"/>
      <c r="Q8" s="16"/>
      <c r="R8" s="15"/>
      <c r="S8" s="11"/>
      <c r="U8" s="17"/>
      <c r="V8" s="17"/>
      <c r="W8" s="17"/>
      <c r="AC8" s="78"/>
      <c r="AD8" s="78"/>
      <c r="AE8" s="78"/>
      <c r="AF8" s="79"/>
      <c r="AG8" s="79"/>
      <c r="AH8" s="79"/>
      <c r="AI8" s="80"/>
      <c r="AJ8" s="80"/>
      <c r="AK8" s="80"/>
      <c r="AL8" s="81"/>
      <c r="AM8" s="81"/>
    </row>
    <row r="9" s="21" customFormat="true" ht="94.5" hidden="false" customHeight="true" outlineLevel="0" collapsed="false">
      <c r="A9" s="9"/>
      <c r="B9" s="77"/>
      <c r="C9" s="10"/>
      <c r="D9" s="11"/>
      <c r="E9" s="11"/>
      <c r="F9" s="12"/>
      <c r="G9" s="18" t="s">
        <v>17</v>
      </c>
      <c r="H9" s="19" t="s">
        <v>18</v>
      </c>
      <c r="I9" s="19" t="s">
        <v>19</v>
      </c>
      <c r="J9" s="18" t="s">
        <v>17</v>
      </c>
      <c r="K9" s="19" t="s">
        <v>18</v>
      </c>
      <c r="L9" s="19" t="s">
        <v>19</v>
      </c>
      <c r="M9" s="18" t="s">
        <v>17</v>
      </c>
      <c r="N9" s="19" t="s">
        <v>18</v>
      </c>
      <c r="O9" s="19" t="s">
        <v>20</v>
      </c>
      <c r="P9" s="15"/>
      <c r="Q9" s="16"/>
      <c r="R9" s="15"/>
      <c r="S9" s="11"/>
      <c r="T9" s="8"/>
      <c r="U9" s="20" t="s">
        <v>9</v>
      </c>
      <c r="V9" s="20" t="s">
        <v>10</v>
      </c>
      <c r="W9" s="20" t="s">
        <v>11</v>
      </c>
      <c r="X9" s="8"/>
      <c r="Y9" s="8"/>
      <c r="Z9" s="8"/>
      <c r="AA9" s="8"/>
      <c r="AB9" s="8"/>
      <c r="AC9" s="82" t="s">
        <v>17</v>
      </c>
      <c r="AD9" s="82" t="s">
        <v>694</v>
      </c>
      <c r="AE9" s="82" t="s">
        <v>19</v>
      </c>
      <c r="AF9" s="82" t="s">
        <v>17</v>
      </c>
      <c r="AG9" s="82" t="s">
        <v>694</v>
      </c>
      <c r="AH9" s="82" t="s">
        <v>19</v>
      </c>
      <c r="AI9" s="82" t="s">
        <v>17</v>
      </c>
      <c r="AJ9" s="82" t="s">
        <v>695</v>
      </c>
      <c r="AK9" s="82" t="s">
        <v>20</v>
      </c>
      <c r="AL9" s="81"/>
      <c r="AM9" s="81"/>
    </row>
    <row r="10" s="26" customFormat="true" ht="15" hidden="false" customHeight="true" outlineLevel="0" collapsed="false">
      <c r="A10" s="22" t="n">
        <v>1</v>
      </c>
      <c r="B10" s="23"/>
      <c r="C10" s="23" t="n">
        <v>2</v>
      </c>
      <c r="D10" s="24" t="n">
        <v>3</v>
      </c>
      <c r="E10" s="24" t="n">
        <v>4</v>
      </c>
      <c r="F10" s="24"/>
      <c r="G10" s="25" t="n">
        <v>5</v>
      </c>
      <c r="H10" s="25" t="n">
        <v>6</v>
      </c>
      <c r="I10" s="23" t="n">
        <v>7</v>
      </c>
      <c r="J10" s="25" t="n">
        <v>8</v>
      </c>
      <c r="K10" s="23" t="n">
        <v>9</v>
      </c>
      <c r="L10" s="23" t="n">
        <v>10</v>
      </c>
      <c r="M10" s="25" t="n">
        <v>11</v>
      </c>
      <c r="N10" s="23" t="n">
        <v>12</v>
      </c>
      <c r="O10" s="23" t="n">
        <v>12</v>
      </c>
      <c r="P10" s="25" t="n">
        <v>15</v>
      </c>
      <c r="Q10" s="25" t="n">
        <v>16</v>
      </c>
      <c r="R10" s="25" t="n">
        <v>17</v>
      </c>
      <c r="S10" s="25" t="n">
        <v>18</v>
      </c>
      <c r="U10" s="27"/>
      <c r="V10" s="27"/>
      <c r="W10" s="27"/>
    </row>
    <row r="11" s="38" customFormat="true" ht="88.5" hidden="false" customHeight="true" outlineLevel="0" collapsed="false">
      <c r="A11" s="83" t="n">
        <v>1</v>
      </c>
      <c r="B11" s="84" t="s">
        <v>696</v>
      </c>
      <c r="C11" s="29" t="s">
        <v>21</v>
      </c>
      <c r="D11" s="30" t="s">
        <v>22</v>
      </c>
      <c r="E11" s="31" t="n">
        <v>5182.5</v>
      </c>
      <c r="F11" s="32" t="n">
        <f aca="false">P11</f>
        <v>4.48</v>
      </c>
      <c r="G11" s="33" t="s">
        <v>23</v>
      </c>
      <c r="H11" s="34" t="n">
        <f aca="false">470/85/1.2*1.05</f>
        <v>4.84</v>
      </c>
      <c r="I11" s="34" t="n">
        <f aca="false">E11*H11</f>
        <v>25083.3</v>
      </c>
      <c r="J11" s="33" t="s">
        <v>24</v>
      </c>
      <c r="K11" s="34" t="n">
        <f aca="false">415/85/1.2*1.05</f>
        <v>4.27</v>
      </c>
      <c r="L11" s="34" t="n">
        <f aca="false">E11*K11</f>
        <v>22129.28</v>
      </c>
      <c r="M11" s="33" t="s">
        <v>25</v>
      </c>
      <c r="N11" s="34" t="n">
        <f aca="false">420/85/1.2*1.05</f>
        <v>4.32</v>
      </c>
      <c r="O11" s="34" t="n">
        <f aca="false">E11*N11</f>
        <v>22388.4</v>
      </c>
      <c r="P11" s="35" t="n">
        <f aca="false">AVERAGE(H11,K11,N11)</f>
        <v>4.48</v>
      </c>
      <c r="Q11" s="36" t="n">
        <f aca="false">F11*100/P11-100</f>
        <v>0</v>
      </c>
      <c r="R11" s="35" t="n">
        <f aca="false">P11*E11</f>
        <v>23217.6</v>
      </c>
      <c r="S11" s="37"/>
      <c r="U11" s="39" t="n">
        <f aca="false">ROUND(H11*100/P11-100,0)</f>
        <v>8</v>
      </c>
      <c r="V11" s="39" t="n">
        <f aca="false">ROUND(K11*100/P11-100,0)</f>
        <v>-5</v>
      </c>
      <c r="W11" s="39" t="n">
        <f aca="false">ROUND(N11*100/P11-100,0)</f>
        <v>-4</v>
      </c>
      <c r="X11" s="85" t="n">
        <f aca="false">P11/1.2</f>
        <v>3.73</v>
      </c>
      <c r="Y11" s="85" t="n">
        <f aca="false">P11*1.2</f>
        <v>5.38</v>
      </c>
      <c r="Z11" s="86" t="n">
        <f aca="false">AND((H11)&gt;=MIN(X11),(H11)&lt;=MAX(Y11))</f>
        <v>1</v>
      </c>
      <c r="AA11" s="86" t="n">
        <f aca="false">AND((K11)&gt;=MIN(X11),(K11)&lt;=MAX(Y11))</f>
        <v>1</v>
      </c>
      <c r="AB11" s="86" t="n">
        <f aca="false">AND((N11)&gt;=MIN(X11),(N11)&lt;=MAX(Y11))</f>
        <v>1</v>
      </c>
      <c r="AC11" s="87"/>
      <c r="AD11" s="88"/>
      <c r="AE11" s="88" t="n">
        <f aca="false">AD11*E11</f>
        <v>0</v>
      </c>
      <c r="AF11" s="87"/>
      <c r="AG11" s="88"/>
      <c r="AH11" s="89" t="n">
        <f aca="false">AG11*E11</f>
        <v>0</v>
      </c>
      <c r="AI11" s="87"/>
      <c r="AJ11" s="90"/>
      <c r="AK11" s="89" t="n">
        <f aca="false">AJ11*E11</f>
        <v>0</v>
      </c>
      <c r="AL11" s="91" t="e">
        <f aca="false">AVERAGE(AD11,AG11,AJ11)</f>
        <v>#DIV/0!</v>
      </c>
      <c r="AM11" s="91" t="e">
        <f aca="false">((F11-AL11)/AL11)*100</f>
        <v>#DIV/0!</v>
      </c>
      <c r="AN11" s="92" t="e">
        <f aca="false">AL11/1.2</f>
        <v>#DIV/0!</v>
      </c>
      <c r="AO11" s="92" t="e">
        <f aca="false">AL11*1.2</f>
        <v>#DIV/0!</v>
      </c>
      <c r="AP11" s="86" t="e">
        <f aca="false">AND((AD11)&gt;=MIN(AN11),(AD11)&lt;=MAX(AO11))</f>
        <v>#DIV/0!</v>
      </c>
      <c r="AQ11" s="86" t="e">
        <f aca="false">AND((AG11)&gt;=MIN(AN11),(AG11)&lt;=MAX(AO11))</f>
        <v>#DIV/0!</v>
      </c>
      <c r="AR11" s="86" t="e">
        <f aca="false">AND((AJ11)&gt;=MIN(AN11),(AJ11)&lt;=MAX(AO11))</f>
        <v>#DIV/0!</v>
      </c>
    </row>
    <row r="12" s="38" customFormat="true" ht="64.5" hidden="false" customHeight="true" outlineLevel="0" collapsed="false">
      <c r="A12" s="83" t="n">
        <v>2</v>
      </c>
      <c r="B12" s="84" t="s">
        <v>697</v>
      </c>
      <c r="C12" s="29" t="s">
        <v>26</v>
      </c>
      <c r="D12" s="30" t="s">
        <v>27</v>
      </c>
      <c r="E12" s="31" t="n">
        <v>8</v>
      </c>
      <c r="F12" s="32" t="n">
        <f aca="false">P12</f>
        <v>792.87</v>
      </c>
      <c r="G12" s="49" t="s">
        <v>28</v>
      </c>
      <c r="H12" s="34" t="n">
        <f aca="false">1628/1.9/1.2*1.05</f>
        <v>749.74</v>
      </c>
      <c r="I12" s="34" t="n">
        <f aca="false">E12*H12</f>
        <v>5997.92</v>
      </c>
      <c r="J12" s="33" t="s">
        <v>29</v>
      </c>
      <c r="K12" s="34" t="n">
        <f aca="false">1770/1.9/1.2*1.05</f>
        <v>815.13</v>
      </c>
      <c r="L12" s="34" t="n">
        <f aca="false">E12*K12</f>
        <v>6521.04</v>
      </c>
      <c r="M12" s="33" t="s">
        <v>30</v>
      </c>
      <c r="N12" s="34" t="n">
        <f aca="false">837/0.9/1.2*1.05</f>
        <v>813.75</v>
      </c>
      <c r="O12" s="34" t="n">
        <f aca="false">E12*N12</f>
        <v>6510</v>
      </c>
      <c r="P12" s="35" t="n">
        <f aca="false">AVERAGE(H12,K12,N12)</f>
        <v>792.87</v>
      </c>
      <c r="Q12" s="36" t="n">
        <f aca="false">F12*100/P12-100</f>
        <v>0</v>
      </c>
      <c r="R12" s="35" t="n">
        <f aca="false">P12*E12</f>
        <v>6342.96</v>
      </c>
      <c r="S12" s="37"/>
      <c r="U12" s="39" t="n">
        <f aca="false">ROUND(H12*100/P12-100,0)</f>
        <v>-5</v>
      </c>
      <c r="V12" s="39" t="n">
        <f aca="false">ROUND(K12*100/P12-100,0)</f>
        <v>3</v>
      </c>
      <c r="W12" s="39" t="n">
        <f aca="false">ROUND(N12*100/P12-100,0)</f>
        <v>3</v>
      </c>
      <c r="X12" s="85" t="n">
        <f aca="false">P12/1.2</f>
        <v>660.73</v>
      </c>
      <c r="Y12" s="85" t="n">
        <f aca="false">P12*1.2</f>
        <v>951.44</v>
      </c>
      <c r="Z12" s="86" t="n">
        <f aca="false">AND((H12)&gt;=MIN(X12),(H12)&lt;=MAX(Y12))</f>
        <v>1</v>
      </c>
      <c r="AA12" s="86" t="n">
        <f aca="false">AND((K12)&gt;=MIN(X12),(K12)&lt;=MAX(Y12))</f>
        <v>1</v>
      </c>
      <c r="AB12" s="86" t="n">
        <f aca="false">AND((N12)&gt;=MIN(X12),(N12)&lt;=MAX(Y12))</f>
        <v>1</v>
      </c>
      <c r="AC12" s="87"/>
      <c r="AD12" s="88"/>
      <c r="AE12" s="88" t="n">
        <f aca="false">AD12*E12</f>
        <v>0</v>
      </c>
      <c r="AF12" s="87"/>
      <c r="AG12" s="88"/>
      <c r="AH12" s="89" t="n">
        <f aca="false">AG12*E12</f>
        <v>0</v>
      </c>
      <c r="AI12" s="87"/>
      <c r="AJ12" s="90"/>
      <c r="AK12" s="89" t="n">
        <f aca="false">AJ12*E12</f>
        <v>0</v>
      </c>
      <c r="AL12" s="91" t="e">
        <f aca="false">AVERAGE(AD12,AG12,AJ12)</f>
        <v>#DIV/0!</v>
      </c>
      <c r="AM12" s="91" t="e">
        <f aca="false">((F12-AL12)/AL12)*100</f>
        <v>#DIV/0!</v>
      </c>
      <c r="AN12" s="92" t="e">
        <f aca="false">AL12/1.2</f>
        <v>#DIV/0!</v>
      </c>
      <c r="AO12" s="92" t="e">
        <f aca="false">AL12*1.2</f>
        <v>#DIV/0!</v>
      </c>
      <c r="AP12" s="86" t="e">
        <f aca="false">AND((AD12)&gt;=MIN(AN12),(AD12)&lt;=MAX(AO12))</f>
        <v>#DIV/0!</v>
      </c>
      <c r="AQ12" s="86" t="e">
        <f aca="false">AND((AG12)&gt;=MIN(AN12),(AG12)&lt;=MAX(AO12))</f>
        <v>#DIV/0!</v>
      </c>
      <c r="AR12" s="86" t="e">
        <f aca="false">AND((AJ12)&gt;=MIN(AN12),(AJ12)&lt;=MAX(AO12))</f>
        <v>#DIV/0!</v>
      </c>
    </row>
    <row r="13" s="38" customFormat="true" ht="81.75" hidden="false" customHeight="true" outlineLevel="0" collapsed="false">
      <c r="A13" s="28" t="n">
        <v>3</v>
      </c>
      <c r="B13" s="93"/>
      <c r="C13" s="29" t="s">
        <v>31</v>
      </c>
      <c r="D13" s="30" t="s">
        <v>27</v>
      </c>
      <c r="E13" s="31" t="n">
        <v>15</v>
      </c>
      <c r="F13" s="32" t="n">
        <f aca="false">P13</f>
        <v>922.31</v>
      </c>
      <c r="G13" s="33" t="s">
        <v>32</v>
      </c>
      <c r="H13" s="34" t="n">
        <f aca="false">945/0.9/1.2*1.05</f>
        <v>918.75</v>
      </c>
      <c r="I13" s="34" t="n">
        <f aca="false">E13*H13</f>
        <v>13781.25</v>
      </c>
      <c r="J13" s="33" t="s">
        <v>33</v>
      </c>
      <c r="K13" s="34" t="n">
        <f aca="false">990/0.9/1.2*1.05</f>
        <v>962.5</v>
      </c>
      <c r="L13" s="34" t="n">
        <f aca="false">E13*K13</f>
        <v>14437.5</v>
      </c>
      <c r="M13" s="33" t="s">
        <v>34</v>
      </c>
      <c r="N13" s="34" t="n">
        <f aca="false">911/0.9/1.2*1.05</f>
        <v>885.69</v>
      </c>
      <c r="O13" s="34" t="n">
        <f aca="false">E13*N13</f>
        <v>13285.35</v>
      </c>
      <c r="P13" s="35" t="n">
        <f aca="false">AVERAGE(H13,K13,N13)</f>
        <v>922.31</v>
      </c>
      <c r="Q13" s="36" t="n">
        <f aca="false">F13*100/P13-100</f>
        <v>0</v>
      </c>
      <c r="R13" s="35" t="n">
        <f aca="false">P13*E13</f>
        <v>13834.65</v>
      </c>
      <c r="S13" s="37"/>
      <c r="U13" s="39" t="n">
        <f aca="false">ROUND(H13*100/P13-100,0)</f>
        <v>-0</v>
      </c>
      <c r="V13" s="39" t="n">
        <f aca="false">ROUND(K13*100/P13-100,0)</f>
        <v>4</v>
      </c>
      <c r="W13" s="39" t="n">
        <f aca="false">ROUND(N13*100/P13-100,0)</f>
        <v>-4</v>
      </c>
      <c r="X13" s="85" t="n">
        <f aca="false">P13/1.2</f>
        <v>768.59</v>
      </c>
      <c r="Y13" s="85" t="n">
        <f aca="false">P13*1.2</f>
        <v>1106.77</v>
      </c>
      <c r="Z13" s="86" t="n">
        <f aca="false">AND((H13)&gt;=MIN(X13),(H13)&lt;=MAX(Y13))</f>
        <v>1</v>
      </c>
      <c r="AA13" s="86" t="n">
        <f aca="false">AND((K13)&gt;=MIN(X13),(K13)&lt;=MAX(Y13))</f>
        <v>1</v>
      </c>
      <c r="AB13" s="86" t="n">
        <f aca="false">AND((N13)&gt;=MIN(X13),(N13)&lt;=MAX(Y13))</f>
        <v>1</v>
      </c>
      <c r="AC13" s="94" t="s">
        <v>698</v>
      </c>
      <c r="AD13" s="88" t="n">
        <f aca="false">1519/1.2/1.9*1.05</f>
        <v>699.54</v>
      </c>
      <c r="AE13" s="88" t="n">
        <f aca="false">AD13*E13</f>
        <v>10493.1</v>
      </c>
      <c r="AF13" s="87" t="s">
        <v>699</v>
      </c>
      <c r="AG13" s="88" t="n">
        <f aca="false">1480/1.2/1.9*1.05</f>
        <v>681.58</v>
      </c>
      <c r="AH13" s="89" t="n">
        <f aca="false">AG13*E13</f>
        <v>10223.7</v>
      </c>
      <c r="AI13" s="87" t="s">
        <v>700</v>
      </c>
      <c r="AJ13" s="90" t="n">
        <f aca="false">1430/1.2/1.9*1.05</f>
        <v>658.55</v>
      </c>
      <c r="AK13" s="89" t="n">
        <f aca="false">AJ13*E13</f>
        <v>9878.25</v>
      </c>
      <c r="AL13" s="91" t="n">
        <f aca="false">AVERAGE(AD13,AG13,AJ13)</f>
        <v>679.89</v>
      </c>
      <c r="AM13" s="91" t="n">
        <f aca="false">((F13-AL13)/AL13)*100</f>
        <v>35.66</v>
      </c>
      <c r="AN13" s="92" t="n">
        <f aca="false">AL13/1.2</f>
        <v>566.58</v>
      </c>
      <c r="AO13" s="92" t="n">
        <f aca="false">AL13*1.2</f>
        <v>815.87</v>
      </c>
      <c r="AP13" s="86" t="n">
        <f aca="false">AND((AD13)&gt;=MIN(AN13),(AD13)&lt;=MAX(AO13))</f>
        <v>1</v>
      </c>
      <c r="AQ13" s="86" t="n">
        <f aca="false">AND((AG13)&gt;=MIN(AN13),(AG13)&lt;=MAX(AO13))</f>
        <v>1</v>
      </c>
      <c r="AR13" s="86" t="n">
        <f aca="false">AND((AJ13)&gt;=MIN(AN13),(AJ13)&lt;=MAX(AO13))</f>
        <v>1</v>
      </c>
    </row>
    <row r="14" s="38" customFormat="true" ht="81.75" hidden="false" customHeight="true" outlineLevel="0" collapsed="false">
      <c r="A14" s="28" t="n">
        <v>4</v>
      </c>
      <c r="B14" s="93"/>
      <c r="C14" s="29" t="s">
        <v>35</v>
      </c>
      <c r="D14" s="30" t="s">
        <v>27</v>
      </c>
      <c r="E14" s="31" t="n">
        <v>6</v>
      </c>
      <c r="F14" s="32" t="n">
        <f aca="false">P14</f>
        <v>851.99</v>
      </c>
      <c r="G14" s="33" t="s">
        <v>36</v>
      </c>
      <c r="H14" s="34" t="n">
        <f aca="false">920/0.9/1.2*1.05</f>
        <v>894.44</v>
      </c>
      <c r="I14" s="34" t="n">
        <f aca="false">E14*H14</f>
        <v>5366.64</v>
      </c>
      <c r="J14" s="33" t="s">
        <v>37</v>
      </c>
      <c r="K14" s="34" t="n">
        <f aca="false">902/0.9/1.2*1.05</f>
        <v>876.94</v>
      </c>
      <c r="L14" s="34" t="n">
        <f aca="false">E14*K14</f>
        <v>5261.64</v>
      </c>
      <c r="M14" s="33" t="s">
        <v>38</v>
      </c>
      <c r="N14" s="34" t="n">
        <f aca="false">807/0.9/1.2*1.05</f>
        <v>784.58</v>
      </c>
      <c r="O14" s="34" t="n">
        <f aca="false">E14*N14</f>
        <v>4707.48</v>
      </c>
      <c r="P14" s="35" t="n">
        <f aca="false">AVERAGE(H14,K14,N14)</f>
        <v>851.99</v>
      </c>
      <c r="Q14" s="36" t="n">
        <f aca="false">F14*100/P14-100</f>
        <v>0</v>
      </c>
      <c r="R14" s="35" t="n">
        <f aca="false">P14*E14</f>
        <v>5111.94</v>
      </c>
      <c r="S14" s="37"/>
      <c r="U14" s="39" t="n">
        <f aca="false">ROUND(H14*100/P14-100,0)</f>
        <v>5</v>
      </c>
      <c r="V14" s="39" t="n">
        <f aca="false">ROUND(K14*100/P14-100,0)</f>
        <v>3</v>
      </c>
      <c r="W14" s="39" t="n">
        <f aca="false">ROUND(N14*100/P14-100,0)</f>
        <v>-8</v>
      </c>
      <c r="X14" s="85" t="n">
        <f aca="false">P14/1.2</f>
        <v>709.99</v>
      </c>
      <c r="Y14" s="85" t="n">
        <f aca="false">P14*1.2</f>
        <v>1022.39</v>
      </c>
      <c r="Z14" s="86" t="n">
        <f aca="false">AND((H14)&gt;=MIN(X14),(H14)&lt;=MAX(Y14))</f>
        <v>1</v>
      </c>
      <c r="AA14" s="86" t="n">
        <f aca="false">AND((K14)&gt;=MIN(X14),(K14)&lt;=MAX(Y14))</f>
        <v>1</v>
      </c>
      <c r="AB14" s="86" t="n">
        <f aca="false">AND((N14)&gt;=MIN(X14),(N14)&lt;=MAX(Y14))</f>
        <v>1</v>
      </c>
      <c r="AC14" s="87" t="s">
        <v>701</v>
      </c>
      <c r="AD14" s="88" t="n">
        <f aca="false">1312/1.2/1.9*1.05</f>
        <v>604.21</v>
      </c>
      <c r="AE14" s="88" t="n">
        <f aca="false">AD14*E14</f>
        <v>3625.26</v>
      </c>
      <c r="AF14" s="95" t="s">
        <v>702</v>
      </c>
      <c r="AG14" s="88" t="n">
        <f aca="false">1628/1.2/1.9*1.05</f>
        <v>749.74</v>
      </c>
      <c r="AH14" s="89" t="n">
        <f aca="false">AG14*E14</f>
        <v>4498.44</v>
      </c>
      <c r="AI14" s="95" t="s">
        <v>703</v>
      </c>
      <c r="AJ14" s="96" t="n">
        <f aca="false">1770/1.2/1.9*1.05</f>
        <v>815.13</v>
      </c>
      <c r="AK14" s="89" t="n">
        <f aca="false">AJ14*E14</f>
        <v>4890.78</v>
      </c>
      <c r="AL14" s="91" t="n">
        <f aca="false">AVERAGE(AD14,AG14,AJ14)</f>
        <v>723.03</v>
      </c>
      <c r="AM14" s="91" t="n">
        <f aca="false">((F14-AL14)/AL14)*100</f>
        <v>17.84</v>
      </c>
      <c r="AN14" s="92" t="n">
        <f aca="false">AL14/1.2</f>
        <v>602.53</v>
      </c>
      <c r="AO14" s="92" t="n">
        <f aca="false">AL14*1.2</f>
        <v>867.64</v>
      </c>
      <c r="AP14" s="86" t="n">
        <f aca="false">AND((AD14)&gt;=MIN(AN14),(AD14)&lt;=MAX(AO14))</f>
        <v>1</v>
      </c>
      <c r="AQ14" s="86" t="n">
        <f aca="false">AND((AG14)&gt;=MIN(AN14),(AG14)&lt;=MAX(AO14))</f>
        <v>1</v>
      </c>
      <c r="AR14" s="86" t="n">
        <f aca="false">AND((AJ14)&gt;=MIN(AN14),(AJ14)&lt;=MAX(AO14))</f>
        <v>1</v>
      </c>
    </row>
    <row r="15" s="38" customFormat="true" ht="32.25" hidden="false" customHeight="true" outlineLevel="0" collapsed="false">
      <c r="A15" s="28" t="n">
        <v>5</v>
      </c>
      <c r="B15" s="97" t="s">
        <v>704</v>
      </c>
      <c r="C15" s="29" t="s">
        <v>39</v>
      </c>
      <c r="D15" s="30" t="s">
        <v>40</v>
      </c>
      <c r="E15" s="31" t="n">
        <v>320</v>
      </c>
      <c r="F15" s="32" t="n">
        <f aca="false">P15</f>
        <v>9.74</v>
      </c>
      <c r="G15" s="49" t="s">
        <v>41</v>
      </c>
      <c r="H15" s="34" t="n">
        <f aca="false">9.5*1.05</f>
        <v>9.98</v>
      </c>
      <c r="I15" s="34" t="n">
        <f aca="false">E15*H15</f>
        <v>3193.6</v>
      </c>
      <c r="J15" s="40" t="s">
        <v>42</v>
      </c>
      <c r="K15" s="34" t="n">
        <f aca="false">10*1.05</f>
        <v>10.5</v>
      </c>
      <c r="L15" s="34" t="n">
        <f aca="false">E15*K15</f>
        <v>3360</v>
      </c>
      <c r="M15" s="33" t="s">
        <v>43</v>
      </c>
      <c r="N15" s="34" t="n">
        <f aca="false">10/1.2*1.05</f>
        <v>8.75</v>
      </c>
      <c r="O15" s="34" t="n">
        <f aca="false">E15*N15</f>
        <v>2800</v>
      </c>
      <c r="P15" s="35" t="n">
        <f aca="false">AVERAGE(H15,K15,N15)</f>
        <v>9.74</v>
      </c>
      <c r="Q15" s="36" t="n">
        <f aca="false">F15*100/P15-100</f>
        <v>0</v>
      </c>
      <c r="R15" s="35" t="n">
        <f aca="false">P15*E15</f>
        <v>3116.8</v>
      </c>
      <c r="S15" s="37"/>
      <c r="U15" s="39" t="n">
        <f aca="false">ROUND(H15*100/P15-100,0)</f>
        <v>2</v>
      </c>
      <c r="V15" s="39" t="n">
        <f aca="false">ROUND(K15*100/P15-100,0)</f>
        <v>8</v>
      </c>
      <c r="W15" s="39" t="n">
        <f aca="false">ROUND(N15*100/P15-100,0)</f>
        <v>-10</v>
      </c>
      <c r="X15" s="85" t="n">
        <f aca="false">P15/1.2</f>
        <v>8.12</v>
      </c>
      <c r="Y15" s="85" t="n">
        <f aca="false">P15*1.2</f>
        <v>11.69</v>
      </c>
      <c r="Z15" s="86" t="n">
        <f aca="false">AND((H15)&gt;=MIN(X15),(H15)&lt;=MAX(Y15))</f>
        <v>1</v>
      </c>
      <c r="AA15" s="86" t="n">
        <f aca="false">AND((K15)&gt;=MIN(X15),(K15)&lt;=MAX(Y15))</f>
        <v>1</v>
      </c>
      <c r="AB15" s="86" t="n">
        <f aca="false">AND((N15)&gt;=MIN(X15),(N15)&lt;=MAX(Y15))</f>
        <v>1</v>
      </c>
      <c r="AC15" s="95" t="s">
        <v>705</v>
      </c>
      <c r="AD15" s="88" t="n">
        <f aca="false">8.98/1.2*1.05</f>
        <v>7.86</v>
      </c>
      <c r="AE15" s="88" t="n">
        <f aca="false">AD15*E15</f>
        <v>2515.2</v>
      </c>
      <c r="AF15" s="95" t="s">
        <v>706</v>
      </c>
      <c r="AG15" s="88" t="n">
        <f aca="false">10/1.2*1.05</f>
        <v>8.75</v>
      </c>
      <c r="AH15" s="89" t="n">
        <f aca="false">AG15*E15</f>
        <v>2800</v>
      </c>
      <c r="AI15" s="87" t="s">
        <v>707</v>
      </c>
      <c r="AJ15" s="96" t="n">
        <f aca="false">7.4/1.2*1.05</f>
        <v>6.48</v>
      </c>
      <c r="AK15" s="89" t="n">
        <f aca="false">AJ15*E15</f>
        <v>2073.6</v>
      </c>
      <c r="AL15" s="91" t="n">
        <f aca="false">AVERAGE(AD15,AG15,AJ15)</f>
        <v>7.7</v>
      </c>
      <c r="AM15" s="91" t="n">
        <f aca="false">((F15-AL15)/AL15)*100</f>
        <v>26.49</v>
      </c>
      <c r="AN15" s="92" t="n">
        <f aca="false">AL15/1.2</f>
        <v>6.42</v>
      </c>
      <c r="AO15" s="92" t="n">
        <f aca="false">AL15*1.2</f>
        <v>9.24</v>
      </c>
      <c r="AP15" s="86" t="n">
        <f aca="false">AND((AD15)&gt;=MIN(AN15),(AD15)&lt;=MAX(AO15))</f>
        <v>1</v>
      </c>
      <c r="AQ15" s="86" t="n">
        <f aca="false">AND((AG15)&gt;=MIN(AN15),(AG15)&lt;=MAX(AO15))</f>
        <v>1</v>
      </c>
      <c r="AR15" s="86" t="n">
        <f aca="false">AND((AJ15)&gt;=MIN(AN15),(AJ15)&lt;=MAX(AO15))</f>
        <v>1</v>
      </c>
    </row>
    <row r="16" s="38" customFormat="true" ht="75" hidden="false" customHeight="true" outlineLevel="0" collapsed="false">
      <c r="A16" s="28" t="n">
        <v>6</v>
      </c>
      <c r="B16" s="84" t="s">
        <v>708</v>
      </c>
      <c r="C16" s="29" t="s">
        <v>44</v>
      </c>
      <c r="D16" s="30" t="s">
        <v>40</v>
      </c>
      <c r="E16" s="31" t="n">
        <v>45</v>
      </c>
      <c r="F16" s="32" t="n">
        <f aca="false">P16</f>
        <v>384.33</v>
      </c>
      <c r="G16" s="33" t="s">
        <v>45</v>
      </c>
      <c r="H16" s="34" t="n">
        <f aca="false">403/1.2*1.05</f>
        <v>352.63</v>
      </c>
      <c r="I16" s="34" t="n">
        <f aca="false">E16*H16</f>
        <v>15868.35</v>
      </c>
      <c r="J16" s="33" t="s">
        <v>46</v>
      </c>
      <c r="K16" s="34" t="n">
        <f aca="false">447.95/1.2*1.05</f>
        <v>391.96</v>
      </c>
      <c r="L16" s="34" t="n">
        <f aca="false">E16*K16</f>
        <v>17638.2</v>
      </c>
      <c r="M16" s="33" t="s">
        <v>47</v>
      </c>
      <c r="N16" s="34" t="n">
        <f aca="false">466.74/1.2*1.05</f>
        <v>408.4</v>
      </c>
      <c r="O16" s="34" t="n">
        <f aca="false">E16*N16</f>
        <v>18378</v>
      </c>
      <c r="P16" s="35" t="n">
        <f aca="false">AVERAGE(H16,K16,N16)</f>
        <v>384.33</v>
      </c>
      <c r="Q16" s="36" t="n">
        <f aca="false">F16*100/P16-100</f>
        <v>0</v>
      </c>
      <c r="R16" s="35" t="n">
        <f aca="false">P16*E16</f>
        <v>17294.85</v>
      </c>
      <c r="S16" s="37"/>
      <c r="U16" s="39" t="n">
        <f aca="false">ROUND(H16*100/P16-100,0)</f>
        <v>-8</v>
      </c>
      <c r="V16" s="39" t="n">
        <f aca="false">ROUND(K16*100/P16-100,0)</f>
        <v>2</v>
      </c>
      <c r="W16" s="39" t="n">
        <f aca="false">ROUND(N16*100/P16-100,0)</f>
        <v>6</v>
      </c>
      <c r="X16" s="85" t="n">
        <f aca="false">P16/1.2</f>
        <v>320.28</v>
      </c>
      <c r="Y16" s="85" t="n">
        <f aca="false">P16*1.2</f>
        <v>461.2</v>
      </c>
      <c r="Z16" s="86" t="n">
        <f aca="false">AND((H16)&gt;=MIN(X16),(H16)&lt;=MAX(Y16))</f>
        <v>1</v>
      </c>
      <c r="AA16" s="86" t="n">
        <f aca="false">AND((K16)&gt;=MIN(X16),(K16)&lt;=MAX(Y16))</f>
        <v>1</v>
      </c>
      <c r="AB16" s="86" t="n">
        <f aca="false">AND((N16)&gt;=MIN(X16),(N16)&lt;=MAX(Y16))</f>
        <v>1</v>
      </c>
      <c r="AC16" s="87"/>
      <c r="AD16" s="88"/>
      <c r="AE16" s="88" t="n">
        <f aca="false">AD16*E16</f>
        <v>0</v>
      </c>
      <c r="AF16" s="95"/>
      <c r="AG16" s="88"/>
      <c r="AH16" s="89" t="n">
        <f aca="false">AG16*E16</f>
        <v>0</v>
      </c>
      <c r="AI16" s="95"/>
      <c r="AJ16" s="98"/>
      <c r="AK16" s="89" t="n">
        <f aca="false">AJ16*E16</f>
        <v>0</v>
      </c>
      <c r="AL16" s="91" t="e">
        <f aca="false">AVERAGE(AD16,AG16,AJ16)</f>
        <v>#DIV/0!</v>
      </c>
      <c r="AM16" s="91" t="e">
        <f aca="false">((F16-AL16)/AL16)*100</f>
        <v>#DIV/0!</v>
      </c>
      <c r="AN16" s="92" t="e">
        <f aca="false">AL16/1.2</f>
        <v>#DIV/0!</v>
      </c>
      <c r="AO16" s="92" t="e">
        <f aca="false">AL16*1.2</f>
        <v>#DIV/0!</v>
      </c>
      <c r="AP16" s="86" t="e">
        <f aca="false">AND((AD16)&gt;=MIN(AN16),(AD16)&lt;=MAX(AO16))</f>
        <v>#DIV/0!</v>
      </c>
      <c r="AQ16" s="86" t="e">
        <f aca="false">AND((AG16)&gt;=MIN(AN16),(AG16)&lt;=MAX(AO16))</f>
        <v>#DIV/0!</v>
      </c>
      <c r="AR16" s="86" t="e">
        <f aca="false">AND((AJ16)&gt;=MIN(AN16),(AJ16)&lt;=MAX(AO16))</f>
        <v>#DIV/0!</v>
      </c>
    </row>
    <row r="17" s="38" customFormat="true" ht="102" hidden="false" customHeight="true" outlineLevel="0" collapsed="false">
      <c r="A17" s="28" t="n">
        <v>7</v>
      </c>
      <c r="B17" s="84" t="s">
        <v>709</v>
      </c>
      <c r="C17" s="29" t="s">
        <v>48</v>
      </c>
      <c r="D17" s="30" t="s">
        <v>40</v>
      </c>
      <c r="E17" s="31" t="n">
        <v>20</v>
      </c>
      <c r="F17" s="32" t="n">
        <f aca="false">P17</f>
        <v>1072.31</v>
      </c>
      <c r="G17" s="33" t="s">
        <v>49</v>
      </c>
      <c r="H17" s="34" t="n">
        <f aca="false">1141/1.2*1.05</f>
        <v>998.38</v>
      </c>
      <c r="I17" s="34" t="n">
        <f aca="false">E17*H17</f>
        <v>19967.6</v>
      </c>
      <c r="J17" s="49" t="s">
        <v>50</v>
      </c>
      <c r="K17" s="34" t="n">
        <f aca="false">1365/1.2*1.05</f>
        <v>1194.38</v>
      </c>
      <c r="L17" s="34" t="n">
        <f aca="false">E17*K17</f>
        <v>23887.6</v>
      </c>
      <c r="M17" s="33" t="s">
        <v>51</v>
      </c>
      <c r="N17" s="34" t="n">
        <f aca="false">1170.49/1.2*1.05</f>
        <v>1024.18</v>
      </c>
      <c r="O17" s="34" t="n">
        <f aca="false">E17*N17</f>
        <v>20483.6</v>
      </c>
      <c r="P17" s="35" t="n">
        <f aca="false">AVERAGE(H17,K17,N17)</f>
        <v>1072.31</v>
      </c>
      <c r="Q17" s="36" t="n">
        <f aca="false">F17*100/P17-100</f>
        <v>0</v>
      </c>
      <c r="R17" s="35" t="n">
        <f aca="false">P17*E17</f>
        <v>21446.2</v>
      </c>
      <c r="S17" s="37"/>
      <c r="U17" s="39" t="n">
        <f aca="false">ROUND(H17*100/P17-100,0)</f>
        <v>-7</v>
      </c>
      <c r="V17" s="39" t="n">
        <f aca="false">ROUND(K17*100/P17-100,0)</f>
        <v>11</v>
      </c>
      <c r="W17" s="39" t="n">
        <f aca="false">ROUND(N17*100/P17-100,0)</f>
        <v>-4</v>
      </c>
      <c r="X17" s="85" t="n">
        <f aca="false">P17/1.2</f>
        <v>893.59</v>
      </c>
      <c r="Y17" s="85" t="n">
        <f aca="false">P17*1.2</f>
        <v>1286.77</v>
      </c>
      <c r="Z17" s="86" t="n">
        <f aca="false">AND((H17)&gt;=MIN(X17),(H17)&lt;=MAX(Y17))</f>
        <v>1</v>
      </c>
      <c r="AA17" s="86" t="n">
        <f aca="false">AND((K17)&gt;=MIN(X17),(K17)&lt;=MAX(Y17))</f>
        <v>1</v>
      </c>
      <c r="AB17" s="86" t="n">
        <f aca="false">AND((N17)&gt;=MIN(X17),(N17)&lt;=MAX(Y17))</f>
        <v>1</v>
      </c>
      <c r="AC17" s="87"/>
      <c r="AD17" s="88"/>
      <c r="AE17" s="88" t="n">
        <f aca="false">AD17*E17</f>
        <v>0</v>
      </c>
      <c r="AF17" s="95"/>
      <c r="AG17" s="88"/>
      <c r="AH17" s="89" t="n">
        <f aca="false">AG17*E17</f>
        <v>0</v>
      </c>
      <c r="AI17" s="95"/>
      <c r="AJ17" s="98"/>
      <c r="AK17" s="89" t="n">
        <f aca="false">AJ17*E17</f>
        <v>0</v>
      </c>
      <c r="AL17" s="91" t="e">
        <f aca="false">AVERAGE(AD17,AG17,AJ17)</f>
        <v>#DIV/0!</v>
      </c>
      <c r="AM17" s="91" t="e">
        <f aca="false">((F17-AL17)/AL17)*100</f>
        <v>#DIV/0!</v>
      </c>
      <c r="AN17" s="92" t="e">
        <f aca="false">AL17/1.2</f>
        <v>#DIV/0!</v>
      </c>
      <c r="AO17" s="92" t="e">
        <f aca="false">AL17*1.2</f>
        <v>#DIV/0!</v>
      </c>
      <c r="AP17" s="86" t="e">
        <f aca="false">AND((AD17)&gt;=MIN(AN17),(AD17)&lt;=MAX(AO17))</f>
        <v>#DIV/0!</v>
      </c>
      <c r="AQ17" s="86" t="e">
        <f aca="false">AND((AG17)&gt;=MIN(AN17),(AG17)&lt;=MAX(AO17))</f>
        <v>#DIV/0!</v>
      </c>
      <c r="AR17" s="86" t="e">
        <f aca="false">AND((AJ17)&gt;=MIN(AN17),(AJ17)&lt;=MAX(AO17))</f>
        <v>#DIV/0!</v>
      </c>
    </row>
    <row r="18" s="38" customFormat="true" ht="45" hidden="false" customHeight="true" outlineLevel="0" collapsed="false">
      <c r="A18" s="28" t="n">
        <v>8</v>
      </c>
      <c r="B18" s="99" t="s">
        <v>710</v>
      </c>
      <c r="C18" s="29" t="s">
        <v>52</v>
      </c>
      <c r="D18" s="30" t="s">
        <v>40</v>
      </c>
      <c r="E18" s="31" t="n">
        <v>25</v>
      </c>
      <c r="F18" s="32" t="n">
        <f aca="false">P18</f>
        <v>523.67</v>
      </c>
      <c r="G18" s="33" t="s">
        <v>53</v>
      </c>
      <c r="H18" s="34" t="n">
        <f aca="false">603.53/1.2*1.05</f>
        <v>528.09</v>
      </c>
      <c r="I18" s="34" t="n">
        <f aca="false">E18*H18</f>
        <v>13202.25</v>
      </c>
      <c r="J18" s="33" t="s">
        <v>54</v>
      </c>
      <c r="K18" s="34" t="n">
        <f aca="false">588.38/1.2*1.05</f>
        <v>514.83</v>
      </c>
      <c r="L18" s="34" t="n">
        <f aca="false">E18*K18</f>
        <v>12870.75</v>
      </c>
      <c r="M18" s="33" t="s">
        <v>55</v>
      </c>
      <c r="N18" s="34" t="n">
        <f aca="false">603.53/1.2*1.05</f>
        <v>528.09</v>
      </c>
      <c r="O18" s="34" t="n">
        <f aca="false">E18*N18</f>
        <v>13202.25</v>
      </c>
      <c r="P18" s="35" t="n">
        <f aca="false">AVERAGE(H18,K18,N18)</f>
        <v>523.67</v>
      </c>
      <c r="Q18" s="36" t="n">
        <f aca="false">F18*100/P18-100</f>
        <v>0</v>
      </c>
      <c r="R18" s="35" t="n">
        <f aca="false">P18*E18</f>
        <v>13091.75</v>
      </c>
      <c r="S18" s="37"/>
      <c r="U18" s="39" t="n">
        <f aca="false">ROUND(H18*100/P18-100,0)</f>
        <v>1</v>
      </c>
      <c r="V18" s="39" t="n">
        <f aca="false">ROUND(K18*100/P18-100,0)</f>
        <v>-2</v>
      </c>
      <c r="W18" s="39" t="n">
        <f aca="false">ROUND(N18*100/P18-100,0)</f>
        <v>1</v>
      </c>
      <c r="X18" s="85" t="n">
        <f aca="false">P18/1.2</f>
        <v>436.39</v>
      </c>
      <c r="Y18" s="85" t="n">
        <f aca="false">P18*1.2</f>
        <v>628.4</v>
      </c>
      <c r="Z18" s="86" t="n">
        <f aca="false">AND((H18)&gt;=MIN(X18),(H18)&lt;=MAX(Y18))</f>
        <v>1</v>
      </c>
      <c r="AA18" s="86" t="n">
        <f aca="false">AND((K18)&gt;=MIN(X18),(K18)&lt;=MAX(Y18))</f>
        <v>1</v>
      </c>
      <c r="AB18" s="86" t="n">
        <f aca="false">AND((N18)&gt;=MIN(X18),(N18)&lt;=MAX(Y18))</f>
        <v>1</v>
      </c>
      <c r="AC18" s="87"/>
      <c r="AD18" s="88"/>
      <c r="AE18" s="88" t="n">
        <f aca="false">AD18*E18</f>
        <v>0</v>
      </c>
      <c r="AF18" s="95"/>
      <c r="AG18" s="88"/>
      <c r="AH18" s="89" t="n">
        <f aca="false">AG18*E18</f>
        <v>0</v>
      </c>
      <c r="AI18" s="95"/>
      <c r="AJ18" s="98"/>
      <c r="AK18" s="89" t="n">
        <f aca="false">AJ18*E18</f>
        <v>0</v>
      </c>
      <c r="AL18" s="91" t="e">
        <f aca="false">AVERAGE(AD18,AG18,AJ18)</f>
        <v>#DIV/0!</v>
      </c>
      <c r="AM18" s="91" t="e">
        <f aca="false">((F18-AL18)/AL18)*100</f>
        <v>#DIV/0!</v>
      </c>
      <c r="AN18" s="92" t="e">
        <f aca="false">AL18/1.2</f>
        <v>#DIV/0!</v>
      </c>
      <c r="AO18" s="92" t="e">
        <f aca="false">AL18*1.2</f>
        <v>#DIV/0!</v>
      </c>
      <c r="AP18" s="86" t="e">
        <f aca="false">AND((AD18)&gt;=MIN(AN18),(AD18)&lt;=MAX(AO18))</f>
        <v>#DIV/0!</v>
      </c>
      <c r="AQ18" s="86" t="e">
        <f aca="false">AND((AG18)&gt;=MIN(AN18),(AG18)&lt;=MAX(AO18))</f>
        <v>#DIV/0!</v>
      </c>
      <c r="AR18" s="86" t="e">
        <f aca="false">AND((AJ18)&gt;=MIN(AN18),(AJ18)&lt;=MAX(AO18))</f>
        <v>#DIV/0!</v>
      </c>
    </row>
    <row r="19" s="38" customFormat="true" ht="45" hidden="false" customHeight="true" outlineLevel="0" collapsed="false">
      <c r="A19" s="28" t="n">
        <v>9</v>
      </c>
      <c r="B19" s="84" t="s">
        <v>711</v>
      </c>
      <c r="C19" s="29" t="s">
        <v>56</v>
      </c>
      <c r="D19" s="30" t="s">
        <v>40</v>
      </c>
      <c r="E19" s="31" t="n">
        <v>15</v>
      </c>
      <c r="F19" s="32" t="n">
        <f aca="false">P19</f>
        <v>758.35</v>
      </c>
      <c r="G19" s="33" t="s">
        <v>53</v>
      </c>
      <c r="H19" s="34" t="n">
        <f aca="false">874/1.2*1.05</f>
        <v>764.75</v>
      </c>
      <c r="I19" s="34" t="n">
        <f aca="false">E19*H19</f>
        <v>11471.25</v>
      </c>
      <c r="J19" s="33" t="s">
        <v>57</v>
      </c>
      <c r="K19" s="34" t="n">
        <f aca="false">852.07/1.2*1.05</f>
        <v>745.56</v>
      </c>
      <c r="L19" s="34" t="n">
        <f aca="false">E19*K19</f>
        <v>11183.4</v>
      </c>
      <c r="M19" s="33" t="s">
        <v>58</v>
      </c>
      <c r="N19" s="34" t="n">
        <f aca="false">874/1.2*1.05</f>
        <v>764.75</v>
      </c>
      <c r="O19" s="34" t="n">
        <f aca="false">E19*N19</f>
        <v>11471.25</v>
      </c>
      <c r="P19" s="35" t="n">
        <f aca="false">AVERAGE(H19,K19,N19)</f>
        <v>758.35</v>
      </c>
      <c r="Q19" s="36" t="n">
        <f aca="false">F19*100/P19-100</f>
        <v>0</v>
      </c>
      <c r="R19" s="35" t="n">
        <f aca="false">P19*E19</f>
        <v>11375.25</v>
      </c>
      <c r="S19" s="37"/>
      <c r="U19" s="39" t="n">
        <f aca="false">ROUND(H19*100/P19-100,0)</f>
        <v>1</v>
      </c>
      <c r="V19" s="39" t="n">
        <f aca="false">ROUND(K19*100/P19-100,0)</f>
        <v>-2</v>
      </c>
      <c r="W19" s="39" t="n">
        <f aca="false">ROUND(N19*100/P19-100,0)</f>
        <v>1</v>
      </c>
      <c r="X19" s="85" t="n">
        <f aca="false">P19/1.2</f>
        <v>631.96</v>
      </c>
      <c r="Y19" s="85" t="n">
        <f aca="false">P19*1.2</f>
        <v>910.02</v>
      </c>
      <c r="Z19" s="86" t="n">
        <f aca="false">AND((H19)&gt;=MIN(X19),(H19)&lt;=MAX(Y19))</f>
        <v>1</v>
      </c>
      <c r="AA19" s="86" t="n">
        <f aca="false">AND((K19)&gt;=MIN(X19),(K19)&lt;=MAX(Y19))</f>
        <v>1</v>
      </c>
      <c r="AB19" s="86" t="n">
        <f aca="false">AND((N19)&gt;=MIN(X19),(N19)&lt;=MAX(Y19))</f>
        <v>1</v>
      </c>
      <c r="AC19" s="87"/>
      <c r="AD19" s="88"/>
      <c r="AE19" s="88" t="n">
        <f aca="false">AD19*E19</f>
        <v>0</v>
      </c>
      <c r="AF19" s="95"/>
      <c r="AG19" s="88"/>
      <c r="AH19" s="89" t="n">
        <f aca="false">AG19*E19</f>
        <v>0</v>
      </c>
      <c r="AI19" s="95"/>
      <c r="AJ19" s="98"/>
      <c r="AK19" s="89" t="n">
        <f aca="false">AJ19*E19</f>
        <v>0</v>
      </c>
      <c r="AL19" s="91" t="e">
        <f aca="false">AVERAGE(AD19,AG19,AJ19)</f>
        <v>#DIV/0!</v>
      </c>
      <c r="AM19" s="91" t="e">
        <f aca="false">((F19-AL19)/AL19)*100</f>
        <v>#DIV/0!</v>
      </c>
      <c r="AN19" s="92" t="e">
        <f aca="false">AL19/1.2</f>
        <v>#DIV/0!</v>
      </c>
      <c r="AO19" s="92" t="e">
        <f aca="false">AL19*1.2</f>
        <v>#DIV/0!</v>
      </c>
      <c r="AP19" s="86" t="e">
        <f aca="false">AND((AD19)&gt;=MIN(AN19),(AD19)&lt;=MAX(AO19))</f>
        <v>#DIV/0!</v>
      </c>
      <c r="AQ19" s="86" t="e">
        <f aca="false">AND((AG19)&gt;=MIN(AN19),(AG19)&lt;=MAX(AO19))</f>
        <v>#DIV/0!</v>
      </c>
      <c r="AR19" s="86" t="e">
        <f aca="false">AND((AJ19)&gt;=MIN(AN19),(AJ19)&lt;=MAX(AO19))</f>
        <v>#DIV/0!</v>
      </c>
    </row>
    <row r="20" s="38" customFormat="true" ht="50.25" hidden="false" customHeight="true" outlineLevel="0" collapsed="false">
      <c r="A20" s="28" t="n">
        <v>10</v>
      </c>
      <c r="B20" s="99"/>
      <c r="C20" s="29" t="s">
        <v>59</v>
      </c>
      <c r="D20" s="30" t="s">
        <v>40</v>
      </c>
      <c r="E20" s="31" t="n">
        <v>395</v>
      </c>
      <c r="F20" s="32" t="n">
        <f aca="false">P20</f>
        <v>91.35</v>
      </c>
      <c r="G20" s="40" t="s">
        <v>60</v>
      </c>
      <c r="H20" s="34" t="n">
        <f aca="false">111.84/1.2*1.05</f>
        <v>97.86</v>
      </c>
      <c r="I20" s="34" t="n">
        <f aca="false">E20*H20</f>
        <v>38654.7</v>
      </c>
      <c r="J20" s="40" t="s">
        <v>61</v>
      </c>
      <c r="K20" s="34" t="n">
        <f aca="false">94.34/1.2*1.05</f>
        <v>82.55</v>
      </c>
      <c r="L20" s="34" t="n">
        <f aca="false">E20*K20</f>
        <v>32607.25</v>
      </c>
      <c r="M20" s="40" t="s">
        <v>62</v>
      </c>
      <c r="N20" s="34" t="n">
        <f aca="false">107/1.2*1.05</f>
        <v>93.63</v>
      </c>
      <c r="O20" s="34" t="n">
        <f aca="false">E20*N20</f>
        <v>36983.85</v>
      </c>
      <c r="P20" s="35" t="n">
        <f aca="false">AVERAGE(H20,K20,N20)</f>
        <v>91.35</v>
      </c>
      <c r="Q20" s="36" t="n">
        <f aca="false">F20*100/P20-100</f>
        <v>0</v>
      </c>
      <c r="R20" s="35" t="n">
        <f aca="false">P20*E20</f>
        <v>36083.25</v>
      </c>
      <c r="S20" s="37"/>
      <c r="U20" s="39" t="n">
        <f aca="false">ROUND(H20*100/P20-100,0)</f>
        <v>7</v>
      </c>
      <c r="V20" s="39" t="n">
        <f aca="false">ROUND(K20*100/P20-100,0)</f>
        <v>-10</v>
      </c>
      <c r="W20" s="39" t="n">
        <f aca="false">ROUND(N20*100/P20-100,0)</f>
        <v>2</v>
      </c>
      <c r="X20" s="85" t="n">
        <f aca="false">P20/1.2</f>
        <v>76.13</v>
      </c>
      <c r="Y20" s="85" t="n">
        <f aca="false">P20*1.2</f>
        <v>109.62</v>
      </c>
      <c r="Z20" s="86" t="n">
        <f aca="false">AND((H20)&gt;=MIN(X20),(H20)&lt;=MAX(Y20))</f>
        <v>1</v>
      </c>
      <c r="AA20" s="86" t="n">
        <f aca="false">AND((K20)&gt;=MIN(X20),(K20)&lt;=MAX(Y20))</f>
        <v>1</v>
      </c>
      <c r="AB20" s="86" t="n">
        <f aca="false">AND((N20)&gt;=MIN(X20),(N20)&lt;=MAX(Y20))</f>
        <v>1</v>
      </c>
      <c r="AC20" s="95" t="s">
        <v>712</v>
      </c>
      <c r="AD20" s="88" t="n">
        <f aca="false">81.17/1.2*1.05</f>
        <v>71.02</v>
      </c>
      <c r="AE20" s="88" t="n">
        <f aca="false">AD20*E20</f>
        <v>28052.9</v>
      </c>
      <c r="AF20" s="95" t="s">
        <v>713</v>
      </c>
      <c r="AG20" s="88" t="n">
        <f aca="false">849.2/10/1.2*1.05</f>
        <v>74.31</v>
      </c>
      <c r="AH20" s="89" t="n">
        <f aca="false">AG20*E20</f>
        <v>29352.45</v>
      </c>
      <c r="AI20" s="95" t="s">
        <v>714</v>
      </c>
      <c r="AJ20" s="88" t="n">
        <f aca="false">83/1.2*1.05</f>
        <v>72.63</v>
      </c>
      <c r="AK20" s="89" t="n">
        <f aca="false">AJ20*E20</f>
        <v>28688.85</v>
      </c>
      <c r="AL20" s="91" t="n">
        <f aca="false">AVERAGE(AD20,AG20,AJ20)</f>
        <v>72.65</v>
      </c>
      <c r="AM20" s="91" t="n">
        <f aca="false">((F20-AL20)/AL20)*100</f>
        <v>25.74</v>
      </c>
      <c r="AN20" s="92" t="n">
        <f aca="false">AL20/1.2</f>
        <v>60.54</v>
      </c>
      <c r="AO20" s="92" t="n">
        <f aca="false">AL20*1.2</f>
        <v>87.18</v>
      </c>
      <c r="AP20" s="86" t="n">
        <f aca="false">AND((AD20)&gt;=MIN(AN20),(AD20)&lt;=MAX(AO20))</f>
        <v>1</v>
      </c>
      <c r="AQ20" s="86" t="n">
        <f aca="false">AND((AG20)&gt;=MIN(AN20),(AG20)&lt;=MAX(AO20))</f>
        <v>1</v>
      </c>
      <c r="AR20" s="86" t="n">
        <f aca="false">AND((AJ20)&gt;=MIN(AN20),(AJ20)&lt;=MAX(AO20))</f>
        <v>1</v>
      </c>
    </row>
    <row r="21" s="38" customFormat="true" ht="66.75" hidden="false" customHeight="true" outlineLevel="0" collapsed="false">
      <c r="A21" s="28" t="n">
        <v>11</v>
      </c>
      <c r="B21" s="84" t="s">
        <v>715</v>
      </c>
      <c r="C21" s="29" t="s">
        <v>63</v>
      </c>
      <c r="D21" s="30" t="s">
        <v>64</v>
      </c>
      <c r="E21" s="31" t="n">
        <v>20</v>
      </c>
      <c r="F21" s="32" t="n">
        <f aca="false">P21</f>
        <v>308.75</v>
      </c>
      <c r="G21" s="41" t="s">
        <v>65</v>
      </c>
      <c r="H21" s="34" t="n">
        <f aca="false">383/1.2*1.05</f>
        <v>335.13</v>
      </c>
      <c r="I21" s="34" t="n">
        <f aca="false">E21*H21</f>
        <v>6702.6</v>
      </c>
      <c r="J21" s="42" t="s">
        <v>66</v>
      </c>
      <c r="K21" s="34" t="n">
        <f aca="false">1605/5/1.2*1.05</f>
        <v>280.88</v>
      </c>
      <c r="L21" s="34" t="n">
        <f aca="false">E21*K21</f>
        <v>5617.6</v>
      </c>
      <c r="M21" s="41" t="s">
        <v>67</v>
      </c>
      <c r="N21" s="34" t="n">
        <f aca="false">70200/198/1.2*1.05</f>
        <v>310.23</v>
      </c>
      <c r="O21" s="34" t="n">
        <f aca="false">E21*N21</f>
        <v>6204.6</v>
      </c>
      <c r="P21" s="35" t="n">
        <f aca="false">AVERAGE(H21,K21,N21)</f>
        <v>308.75</v>
      </c>
      <c r="Q21" s="36" t="n">
        <f aca="false">F21*100/P21-100</f>
        <v>0</v>
      </c>
      <c r="R21" s="35" t="n">
        <f aca="false">P21*E21</f>
        <v>6175</v>
      </c>
      <c r="S21" s="37"/>
      <c r="U21" s="39" t="n">
        <f aca="false">ROUND(H21*100/P21-100,0)</f>
        <v>9</v>
      </c>
      <c r="V21" s="39" t="n">
        <f aca="false">ROUND(K21*100/P21-100,0)</f>
        <v>-9</v>
      </c>
      <c r="W21" s="39" t="n">
        <f aca="false">ROUND(N21*100/P21-100,0)</f>
        <v>0</v>
      </c>
      <c r="X21" s="85" t="n">
        <f aca="false">P21/1.2</f>
        <v>257.29</v>
      </c>
      <c r="Y21" s="85" t="n">
        <f aca="false">P21*1.2</f>
        <v>370.5</v>
      </c>
      <c r="Z21" s="86" t="n">
        <f aca="false">AND((H21)&gt;=MIN(X21),(H21)&lt;=MAX(Y21))</f>
        <v>1</v>
      </c>
      <c r="AA21" s="86" t="n">
        <f aca="false">AND((K21)&gt;=MIN(X21),(K21)&lt;=MAX(Y21))</f>
        <v>1</v>
      </c>
      <c r="AB21" s="86" t="n">
        <f aca="false">AND((N21)&gt;=MIN(X21),(N21)&lt;=MAX(Y21))</f>
        <v>1</v>
      </c>
      <c r="AC21" s="95" t="s">
        <v>716</v>
      </c>
      <c r="AD21" s="88" t="n">
        <f aca="false">1168/1.2/4*1.05</f>
        <v>255.5</v>
      </c>
      <c r="AE21" s="88" t="n">
        <f aca="false">AD21*E21</f>
        <v>5110</v>
      </c>
      <c r="AF21" s="95" t="s">
        <v>717</v>
      </c>
      <c r="AG21" s="88" t="n">
        <f aca="false">1004/4/1.2*1.05</f>
        <v>219.63</v>
      </c>
      <c r="AH21" s="89" t="n">
        <f aca="false">AG21*E21</f>
        <v>4392.6</v>
      </c>
      <c r="AI21" s="95" t="s">
        <v>718</v>
      </c>
      <c r="AJ21" s="88" t="n">
        <f aca="false">1225/1.2/4*1.05</f>
        <v>267.97</v>
      </c>
      <c r="AK21" s="89" t="n">
        <f aca="false">AJ21*E21</f>
        <v>5359.4</v>
      </c>
      <c r="AL21" s="91" t="n">
        <f aca="false">AVERAGE(AD21,AG21,AJ21)</f>
        <v>247.7</v>
      </c>
      <c r="AM21" s="91" t="n">
        <f aca="false">((F21-AL21)/AL21)*100</f>
        <v>24.65</v>
      </c>
      <c r="AN21" s="92" t="n">
        <f aca="false">AL21/1.2</f>
        <v>206.42</v>
      </c>
      <c r="AO21" s="92" t="n">
        <f aca="false">AL21*1.2</f>
        <v>297.24</v>
      </c>
      <c r="AP21" s="86" t="n">
        <f aca="false">AND((AD21)&gt;=MIN(AN21),(AD21)&lt;=MAX(AO21))</f>
        <v>1</v>
      </c>
      <c r="AQ21" s="86" t="n">
        <f aca="false">AND((AG21)&gt;=MIN(AN21),(AG21)&lt;=MAX(AO21))</f>
        <v>1</v>
      </c>
      <c r="AR21" s="86" t="n">
        <f aca="false">AND((AJ21)&gt;=MIN(AN21),(AJ21)&lt;=MAX(AO21))</f>
        <v>1</v>
      </c>
    </row>
    <row r="22" s="38" customFormat="true" ht="94.5" hidden="false" customHeight="true" outlineLevel="0" collapsed="false">
      <c r="A22" s="28" t="n">
        <v>12</v>
      </c>
      <c r="B22" s="99" t="s">
        <v>719</v>
      </c>
      <c r="C22" s="29" t="s">
        <v>68</v>
      </c>
      <c r="D22" s="30" t="s">
        <v>40</v>
      </c>
      <c r="E22" s="31" t="n">
        <v>10</v>
      </c>
      <c r="F22" s="32" t="n">
        <f aca="false">P22</f>
        <v>7796.25</v>
      </c>
      <c r="G22" s="40" t="s">
        <v>69</v>
      </c>
      <c r="H22" s="34" t="n">
        <f aca="false">8808/1.2*1.05</f>
        <v>7707</v>
      </c>
      <c r="I22" s="34" t="n">
        <f aca="false">E22*H22</f>
        <v>77070</v>
      </c>
      <c r="J22" s="40" t="s">
        <v>70</v>
      </c>
      <c r="K22" s="34" t="n">
        <f aca="false">9307/1.2*1.05</f>
        <v>8143.63</v>
      </c>
      <c r="L22" s="34" t="n">
        <f aca="false">E22*K22</f>
        <v>81436.3</v>
      </c>
      <c r="M22" s="41" t="s">
        <v>71</v>
      </c>
      <c r="N22" s="34" t="n">
        <f aca="false">8615/1.2*1.05</f>
        <v>7538.13</v>
      </c>
      <c r="O22" s="34" t="n">
        <f aca="false">E22*N22</f>
        <v>75381.3</v>
      </c>
      <c r="P22" s="35" t="n">
        <f aca="false">AVERAGE(H22,K22,N22)</f>
        <v>7796.25</v>
      </c>
      <c r="Q22" s="36" t="n">
        <f aca="false">F22*100/P22-100</f>
        <v>0</v>
      </c>
      <c r="R22" s="35" t="n">
        <f aca="false">P22*E22</f>
        <v>77962.5</v>
      </c>
      <c r="S22" s="37"/>
      <c r="U22" s="39" t="n">
        <f aca="false">ROUND(H22*100/P22-100,0)</f>
        <v>-1</v>
      </c>
      <c r="V22" s="39" t="n">
        <f aca="false">ROUND(K22*100/P22-100,0)</f>
        <v>4</v>
      </c>
      <c r="W22" s="39" t="n">
        <f aca="false">ROUND(N22*100/P22-100,0)</f>
        <v>-3</v>
      </c>
      <c r="X22" s="85" t="n">
        <f aca="false">P22/1.2</f>
        <v>6496.88</v>
      </c>
      <c r="Y22" s="85" t="n">
        <f aca="false">P22*1.2</f>
        <v>9355.5</v>
      </c>
      <c r="Z22" s="86" t="n">
        <f aca="false">AND((H22)&gt;=MIN(X22),(H22)&lt;=MAX(Y22))</f>
        <v>1</v>
      </c>
      <c r="AA22" s="86" t="n">
        <f aca="false">AND((K22)&gt;=MIN(X22),(K22)&lt;=MAX(Y22))</f>
        <v>1</v>
      </c>
      <c r="AB22" s="86" t="n">
        <f aca="false">AND((N22)&gt;=MIN(X22),(N22)&lt;=MAX(Y22))</f>
        <v>1</v>
      </c>
      <c r="AC22" s="95" t="s">
        <v>720</v>
      </c>
      <c r="AD22" s="88" t="n">
        <f aca="false">8790/1.2*1.042</f>
        <v>7632.65</v>
      </c>
      <c r="AE22" s="88" t="n">
        <f aca="false">AD22*E22</f>
        <v>76326.5</v>
      </c>
      <c r="AF22" s="95" t="s">
        <v>721</v>
      </c>
      <c r="AG22" s="88" t="n">
        <f aca="false">8615/1.2*1.042</f>
        <v>7480.69</v>
      </c>
      <c r="AH22" s="89" t="n">
        <f aca="false">AG22*E22</f>
        <v>74806.9</v>
      </c>
      <c r="AI22" s="95" t="s">
        <v>722</v>
      </c>
      <c r="AJ22" s="88" t="n">
        <f aca="false">8790/1.2*1.042</f>
        <v>7632.65</v>
      </c>
      <c r="AK22" s="89" t="n">
        <f aca="false">AJ22*E22</f>
        <v>76326.5</v>
      </c>
      <c r="AL22" s="91" t="n">
        <f aca="false">AVERAGE(AD22,AG22,AJ22)</f>
        <v>7582</v>
      </c>
      <c r="AM22" s="91" t="n">
        <f aca="false">((F22-AL22)/AL22)*100</f>
        <v>2.83</v>
      </c>
      <c r="AN22" s="92" t="n">
        <f aca="false">AL22/1.2</f>
        <v>6318.33</v>
      </c>
      <c r="AO22" s="92" t="n">
        <f aca="false">AL22*1.2</f>
        <v>9098.4</v>
      </c>
      <c r="AP22" s="86" t="n">
        <f aca="false">AND((AD22)&gt;=MIN(AN22),(AD22)&lt;=MAX(AO22))</f>
        <v>1</v>
      </c>
      <c r="AQ22" s="86" t="n">
        <f aca="false">AND((AG22)&gt;=MIN(AN22),(AG22)&lt;=MAX(AO22))</f>
        <v>1</v>
      </c>
      <c r="AR22" s="86" t="n">
        <f aca="false">AND((AJ22)&gt;=MIN(AN22),(AJ22)&lt;=MAX(AO22))</f>
        <v>1</v>
      </c>
    </row>
    <row r="23" s="38" customFormat="true" ht="37.5" hidden="false" customHeight="true" outlineLevel="0" collapsed="false">
      <c r="A23" s="28" t="n">
        <v>13</v>
      </c>
      <c r="B23" s="99" t="s">
        <v>723</v>
      </c>
      <c r="C23" s="29" t="s">
        <v>72</v>
      </c>
      <c r="D23" s="30" t="s">
        <v>40</v>
      </c>
      <c r="E23" s="31" t="n">
        <v>20</v>
      </c>
      <c r="F23" s="32" t="n">
        <f aca="false">P23</f>
        <v>3472.58</v>
      </c>
      <c r="G23" s="42" t="s">
        <v>73</v>
      </c>
      <c r="H23" s="34" t="n">
        <f aca="false">3636/1.2*1.05</f>
        <v>3181.5</v>
      </c>
      <c r="I23" s="34" t="n">
        <f aca="false">E23*H23</f>
        <v>63630</v>
      </c>
      <c r="J23" s="42" t="s">
        <v>74</v>
      </c>
      <c r="K23" s="34" t="n">
        <f aca="false">3910/1.2*1.05</f>
        <v>3421.25</v>
      </c>
      <c r="L23" s="34" t="n">
        <f aca="false">E23*K23</f>
        <v>68425</v>
      </c>
      <c r="M23" s="49" t="s">
        <v>75</v>
      </c>
      <c r="N23" s="34" t="n">
        <f aca="false">4360/1.2*1.05</f>
        <v>3815</v>
      </c>
      <c r="O23" s="34" t="n">
        <f aca="false">E23*N23</f>
        <v>76300</v>
      </c>
      <c r="P23" s="35" t="n">
        <f aca="false">AVERAGE(H23,K23,N23)</f>
        <v>3472.58</v>
      </c>
      <c r="Q23" s="36" t="n">
        <f aca="false">F23*100/P23-100</f>
        <v>0</v>
      </c>
      <c r="R23" s="35" t="n">
        <f aca="false">P23*E23</f>
        <v>69451.6</v>
      </c>
      <c r="S23" s="37"/>
      <c r="U23" s="39" t="n">
        <f aca="false">ROUND(H23*100/P23-100,0)</f>
        <v>-8</v>
      </c>
      <c r="V23" s="39" t="n">
        <f aca="false">ROUND(K23*100/P23-100,0)</f>
        <v>-1</v>
      </c>
      <c r="W23" s="39" t="n">
        <f aca="false">ROUND(N23*100/P23-100,0)</f>
        <v>10</v>
      </c>
      <c r="X23" s="85" t="n">
        <f aca="false">P23/1.2</f>
        <v>2893.82</v>
      </c>
      <c r="Y23" s="85" t="n">
        <f aca="false">P23*1.2</f>
        <v>4167.1</v>
      </c>
      <c r="Z23" s="86" t="n">
        <f aca="false">AND((H23)&gt;=MIN(X23),(H23)&lt;=MAX(Y23))</f>
        <v>1</v>
      </c>
      <c r="AA23" s="86" t="n">
        <f aca="false">AND((K23)&gt;=MIN(X23),(K23)&lt;=MAX(Y23))</f>
        <v>1</v>
      </c>
      <c r="AB23" s="86" t="n">
        <f aca="false">AND((N23)&gt;=MIN(X23),(N23)&lt;=MAX(Y23))</f>
        <v>1</v>
      </c>
      <c r="AC23" s="95" t="s">
        <v>724</v>
      </c>
      <c r="AD23" s="88" t="n">
        <f aca="false">3730/1.2*1.05</f>
        <v>3263.75</v>
      </c>
      <c r="AE23" s="88" t="n">
        <f aca="false">AD23*E23</f>
        <v>65275</v>
      </c>
      <c r="AF23" s="95" t="s">
        <v>725</v>
      </c>
      <c r="AG23" s="88" t="n">
        <f aca="false">3636/1.2*1.05</f>
        <v>3181.5</v>
      </c>
      <c r="AH23" s="89" t="n">
        <f aca="false">AG23*E23</f>
        <v>63630</v>
      </c>
      <c r="AI23" s="95" t="s">
        <v>726</v>
      </c>
      <c r="AJ23" s="88" t="n">
        <f aca="false">4360/1.2*1.05</f>
        <v>3815</v>
      </c>
      <c r="AK23" s="89" t="n">
        <f aca="false">AJ23*E23</f>
        <v>76300</v>
      </c>
      <c r="AL23" s="91" t="n">
        <f aca="false">AVERAGE(AD23,AG23,AJ23)</f>
        <v>3420.08</v>
      </c>
      <c r="AM23" s="91" t="n">
        <f aca="false">((F23-AL23)/AL23)*100</f>
        <v>1.54</v>
      </c>
      <c r="AN23" s="92" t="n">
        <f aca="false">AL23/1.2</f>
        <v>2850.07</v>
      </c>
      <c r="AO23" s="92" t="n">
        <f aca="false">AL23*1.2</f>
        <v>4104.1</v>
      </c>
      <c r="AP23" s="86" t="n">
        <f aca="false">AND((AD23)&gt;=MIN(AN23),(AD23)&lt;=MAX(AO23))</f>
        <v>1</v>
      </c>
      <c r="AQ23" s="86" t="n">
        <f aca="false">AND((AG23)&gt;=MIN(AN23),(AG23)&lt;=MAX(AO23))</f>
        <v>1</v>
      </c>
      <c r="AR23" s="86" t="n">
        <f aca="false">AND((AJ23)&gt;=MIN(AN23),(AJ23)&lt;=MAX(AO23))</f>
        <v>1</v>
      </c>
    </row>
    <row r="24" s="38" customFormat="true" ht="89.25" hidden="false" customHeight="true" outlineLevel="0" collapsed="false">
      <c r="A24" s="28" t="n">
        <v>14</v>
      </c>
      <c r="B24" s="99"/>
      <c r="C24" s="29" t="s">
        <v>76</v>
      </c>
      <c r="D24" s="30" t="s">
        <v>40</v>
      </c>
      <c r="E24" s="31" t="n">
        <v>5</v>
      </c>
      <c r="F24" s="32" t="n">
        <f aca="false">P24</f>
        <v>3472.58</v>
      </c>
      <c r="G24" s="40" t="s">
        <v>73</v>
      </c>
      <c r="H24" s="34" t="n">
        <f aca="false">3636/1.2*1.05</f>
        <v>3181.5</v>
      </c>
      <c r="I24" s="34" t="n">
        <f aca="false">E24*H24</f>
        <v>15907.5</v>
      </c>
      <c r="J24" s="40" t="s">
        <v>74</v>
      </c>
      <c r="K24" s="34" t="n">
        <f aca="false">3910/1.2*1.05</f>
        <v>3421.25</v>
      </c>
      <c r="L24" s="34" t="n">
        <f aca="false">E24*K24</f>
        <v>17106.25</v>
      </c>
      <c r="M24" s="40" t="s">
        <v>75</v>
      </c>
      <c r="N24" s="34" t="n">
        <f aca="false">4360/1.2*1.05</f>
        <v>3815</v>
      </c>
      <c r="O24" s="34" t="n">
        <f aca="false">E24*N24</f>
        <v>19075</v>
      </c>
      <c r="P24" s="35" t="n">
        <f aca="false">AVERAGE(H24,K24,N24)</f>
        <v>3472.58</v>
      </c>
      <c r="Q24" s="36" t="n">
        <f aca="false">F24*100/P24-100</f>
        <v>0</v>
      </c>
      <c r="R24" s="35" t="n">
        <f aca="false">P24*E24</f>
        <v>17362.9</v>
      </c>
      <c r="S24" s="37"/>
      <c r="U24" s="39" t="n">
        <f aca="false">ROUND(H24*100/P24-100,0)</f>
        <v>-8</v>
      </c>
      <c r="V24" s="39" t="n">
        <f aca="false">ROUND(K24*100/P24-100,0)</f>
        <v>-1</v>
      </c>
      <c r="W24" s="39" t="n">
        <f aca="false">ROUND(N24*100/P24-100,0)</f>
        <v>10</v>
      </c>
      <c r="X24" s="85" t="n">
        <f aca="false">P24/1.2</f>
        <v>2893.82</v>
      </c>
      <c r="Y24" s="85" t="n">
        <f aca="false">P24*1.2</f>
        <v>4167.1</v>
      </c>
      <c r="Z24" s="86" t="n">
        <f aca="false">AND((H24)&gt;=MIN(X24),(H24)&lt;=MAX(Y24))</f>
        <v>1</v>
      </c>
      <c r="AA24" s="86" t="n">
        <f aca="false">AND((K24)&gt;=MIN(X24),(K24)&lt;=MAX(Y24))</f>
        <v>1</v>
      </c>
      <c r="AB24" s="86" t="n">
        <f aca="false">AND((N24)&gt;=MIN(X24),(N24)&lt;=MAX(Y24))</f>
        <v>1</v>
      </c>
      <c r="AC24" s="95"/>
      <c r="AD24" s="88"/>
      <c r="AE24" s="88" t="n">
        <f aca="false">AD24*E24</f>
        <v>0</v>
      </c>
      <c r="AF24" s="95"/>
      <c r="AG24" s="88"/>
      <c r="AH24" s="89" t="n">
        <f aca="false">AG24*E24</f>
        <v>0</v>
      </c>
      <c r="AI24" s="95"/>
      <c r="AJ24" s="88"/>
      <c r="AK24" s="89" t="n">
        <f aca="false">AJ24*E24</f>
        <v>0</v>
      </c>
      <c r="AL24" s="91" t="e">
        <f aca="false">AVERAGE(AD24,AG24,AJ24)</f>
        <v>#DIV/0!</v>
      </c>
      <c r="AM24" s="91" t="e">
        <f aca="false">((F24-AL24)/AL24)*100</f>
        <v>#DIV/0!</v>
      </c>
      <c r="AN24" s="92" t="e">
        <f aca="false">AL24/1.2</f>
        <v>#DIV/0!</v>
      </c>
      <c r="AO24" s="92" t="e">
        <f aca="false">AL24*1.2</f>
        <v>#DIV/0!</v>
      </c>
      <c r="AP24" s="86" t="e">
        <f aca="false">AND((AD24)&gt;=MIN(AN24),(AD24)&lt;=MAX(AO24))</f>
        <v>#DIV/0!</v>
      </c>
      <c r="AQ24" s="86" t="e">
        <f aca="false">AND((AG24)&gt;=MIN(AN24),(AG24)&lt;=MAX(AO24))</f>
        <v>#DIV/0!</v>
      </c>
      <c r="AR24" s="86" t="e">
        <f aca="false">AND((AJ24)&gt;=MIN(AN24),(AJ24)&lt;=MAX(AO24))</f>
        <v>#DIV/0!</v>
      </c>
    </row>
    <row r="25" s="38" customFormat="true" ht="64.5" hidden="false" customHeight="true" outlineLevel="0" collapsed="false">
      <c r="A25" s="28" t="n">
        <v>15</v>
      </c>
      <c r="B25" s="99"/>
      <c r="C25" s="29" t="s">
        <v>77</v>
      </c>
      <c r="D25" s="30" t="s">
        <v>40</v>
      </c>
      <c r="E25" s="31" t="n">
        <v>25</v>
      </c>
      <c r="F25" s="32" t="n">
        <f aca="false">P25</f>
        <v>1604.46</v>
      </c>
      <c r="G25" s="40" t="s">
        <v>78</v>
      </c>
      <c r="H25" s="34" t="n">
        <f aca="false">1720/1.2*1.05</f>
        <v>1505</v>
      </c>
      <c r="I25" s="34" t="n">
        <f aca="false">E25*H25</f>
        <v>37625</v>
      </c>
      <c r="J25" s="40" t="s">
        <v>79</v>
      </c>
      <c r="K25" s="34" t="n">
        <f aca="false">1810/1.2*1.05</f>
        <v>1583.75</v>
      </c>
      <c r="L25" s="34" t="n">
        <f aca="false">E25*K25</f>
        <v>39593.75</v>
      </c>
      <c r="M25" s="40" t="s">
        <v>80</v>
      </c>
      <c r="N25" s="34" t="n">
        <f aca="false">1971/1.2*1.05</f>
        <v>1724.63</v>
      </c>
      <c r="O25" s="34" t="n">
        <f aca="false">E25*N25</f>
        <v>43115.75</v>
      </c>
      <c r="P25" s="35" t="n">
        <f aca="false">AVERAGE(H25,K25,N25)</f>
        <v>1604.46</v>
      </c>
      <c r="Q25" s="36" t="n">
        <f aca="false">F25*100/P25-100</f>
        <v>0</v>
      </c>
      <c r="R25" s="35" t="n">
        <f aca="false">P25*E25</f>
        <v>40111.5</v>
      </c>
      <c r="S25" s="37"/>
      <c r="U25" s="39" t="n">
        <f aca="false">ROUND(H25*100/P25-100,0)</f>
        <v>-6</v>
      </c>
      <c r="V25" s="39" t="n">
        <f aca="false">ROUND(K25*100/P25-100,0)</f>
        <v>-1</v>
      </c>
      <c r="W25" s="39" t="n">
        <f aca="false">ROUND(N25*100/P25-100,0)</f>
        <v>7</v>
      </c>
      <c r="X25" s="85" t="n">
        <f aca="false">P25/1.2</f>
        <v>1337.05</v>
      </c>
      <c r="Y25" s="85" t="n">
        <f aca="false">P25*1.2</f>
        <v>1925.35</v>
      </c>
      <c r="Z25" s="86" t="n">
        <f aca="false">AND((H25)&gt;=MIN(X25),(H25)&lt;=MAX(Y25))</f>
        <v>1</v>
      </c>
      <c r="AA25" s="86" t="n">
        <f aca="false">AND((K25)&gt;=MIN(X25),(K25)&lt;=MAX(Y25))</f>
        <v>1</v>
      </c>
      <c r="AB25" s="86" t="n">
        <f aca="false">AND((N25)&gt;=MIN(X25),(N25)&lt;=MAX(Y25))</f>
        <v>1</v>
      </c>
      <c r="AC25" s="95" t="s">
        <v>727</v>
      </c>
      <c r="AD25" s="88" t="n">
        <f aca="false">1971/1.2*1.05</f>
        <v>1724.63</v>
      </c>
      <c r="AE25" s="88" t="n">
        <f aca="false">AD25*E25</f>
        <v>43115.75</v>
      </c>
      <c r="AF25" s="95" t="s">
        <v>728</v>
      </c>
      <c r="AG25" s="88" t="n">
        <f aca="false">2066/1.2*1.05</f>
        <v>1807.75</v>
      </c>
      <c r="AH25" s="89" t="n">
        <f aca="false">AG25*E25</f>
        <v>45193.75</v>
      </c>
      <c r="AI25" s="95" t="s">
        <v>729</v>
      </c>
      <c r="AJ25" s="88" t="n">
        <f aca="false">2201/1.2*1.05</f>
        <v>1925.88</v>
      </c>
      <c r="AK25" s="89" t="n">
        <f aca="false">AJ25*E25</f>
        <v>48147</v>
      </c>
      <c r="AL25" s="91" t="n">
        <f aca="false">AVERAGE(AD25,AG25,AJ25)</f>
        <v>1819.42</v>
      </c>
      <c r="AM25" s="91" t="n">
        <f aca="false">((F25-AL25)/AL25)*100</f>
        <v>-11.81</v>
      </c>
      <c r="AN25" s="92" t="n">
        <f aca="false">AL25/1.2</f>
        <v>1516.18</v>
      </c>
      <c r="AO25" s="92" t="n">
        <f aca="false">AL25*1.2</f>
        <v>2183.3</v>
      </c>
      <c r="AP25" s="86" t="n">
        <f aca="false">AND((AD25)&gt;=MIN(AN25),(AD25)&lt;=MAX(AO25))</f>
        <v>1</v>
      </c>
      <c r="AQ25" s="86" t="n">
        <f aca="false">AND((AG25)&gt;=MIN(AN25),(AG25)&lt;=MAX(AO25))</f>
        <v>1</v>
      </c>
      <c r="AR25" s="86" t="n">
        <f aca="false">AND((AJ25)&gt;=MIN(AN25),(AJ25)&lt;=MAX(AO25))</f>
        <v>1</v>
      </c>
    </row>
    <row r="26" s="38" customFormat="true" ht="75" hidden="false" customHeight="true" outlineLevel="0" collapsed="false">
      <c r="A26" s="28" t="n">
        <v>16</v>
      </c>
      <c r="B26" s="99"/>
      <c r="C26" s="29" t="s">
        <v>81</v>
      </c>
      <c r="D26" s="30" t="s">
        <v>40</v>
      </c>
      <c r="E26" s="31" t="n">
        <v>5</v>
      </c>
      <c r="F26" s="32" t="n">
        <f aca="false">P26</f>
        <v>44187.5</v>
      </c>
      <c r="G26" s="42" t="s">
        <v>82</v>
      </c>
      <c r="H26" s="34" t="n">
        <f aca="false">55900/1.2*1.05</f>
        <v>48912.5</v>
      </c>
      <c r="I26" s="34" t="n">
        <f aca="false">E26*H26</f>
        <v>244562.5</v>
      </c>
      <c r="J26" s="42" t="s">
        <v>83</v>
      </c>
      <c r="K26" s="34" t="n">
        <f aca="false">47800/1.2*1.05</f>
        <v>41825</v>
      </c>
      <c r="L26" s="34" t="n">
        <f aca="false">E26*K26</f>
        <v>209125</v>
      </c>
      <c r="M26" s="49" t="s">
        <v>84</v>
      </c>
      <c r="N26" s="34" t="n">
        <f aca="false">47800/1.2*1.05</f>
        <v>41825</v>
      </c>
      <c r="O26" s="34" t="n">
        <f aca="false">E26*N26</f>
        <v>209125</v>
      </c>
      <c r="P26" s="35" t="n">
        <f aca="false">AVERAGE(H26,K26,N26)</f>
        <v>44187.5</v>
      </c>
      <c r="Q26" s="36" t="n">
        <f aca="false">F26*100/P26-100</f>
        <v>0</v>
      </c>
      <c r="R26" s="35" t="n">
        <f aca="false">P26*E26</f>
        <v>220937.5</v>
      </c>
      <c r="S26" s="37"/>
      <c r="U26" s="39" t="n">
        <f aca="false">ROUND(H26*100/P26-100,0)</f>
        <v>11</v>
      </c>
      <c r="V26" s="39" t="n">
        <f aca="false">ROUND(K26*100/P26-100,0)</f>
        <v>-5</v>
      </c>
      <c r="W26" s="39" t="n">
        <f aca="false">ROUND(N26*100/P26-100,0)</f>
        <v>-5</v>
      </c>
      <c r="X26" s="85" t="n">
        <f aca="false">P26/1.2</f>
        <v>36822.92</v>
      </c>
      <c r="Y26" s="85" t="n">
        <f aca="false">P26*1.2</f>
        <v>53025</v>
      </c>
      <c r="Z26" s="86" t="n">
        <f aca="false">AND((H26)&gt;=MIN(X26),(H26)&lt;=MAX(Y26))</f>
        <v>1</v>
      </c>
      <c r="AA26" s="86" t="n">
        <f aca="false">AND((K26)&gt;=MIN(X26),(K26)&lt;=MAX(Y26))</f>
        <v>1</v>
      </c>
      <c r="AB26" s="86" t="n">
        <f aca="false">AND((N26)&gt;=MIN(X26),(N26)&lt;=MAX(Y26))</f>
        <v>1</v>
      </c>
      <c r="AC26" s="95" t="s">
        <v>84</v>
      </c>
      <c r="AD26" s="88" t="n">
        <f aca="false">47800/1.2*1.05</f>
        <v>41825</v>
      </c>
      <c r="AE26" s="88" t="n">
        <f aca="false">AD26*E26</f>
        <v>209125</v>
      </c>
      <c r="AF26" s="95" t="s">
        <v>82</v>
      </c>
      <c r="AG26" s="88" t="n">
        <f aca="false">55900/1.2*1.05</f>
        <v>48912.5</v>
      </c>
      <c r="AH26" s="89" t="n">
        <f aca="false">AG26*E26</f>
        <v>244562.5</v>
      </c>
      <c r="AI26" s="95" t="s">
        <v>83</v>
      </c>
      <c r="AJ26" s="88" t="n">
        <f aca="false">47800/1.2*1.05</f>
        <v>41825</v>
      </c>
      <c r="AK26" s="89" t="n">
        <f aca="false">AJ26*E26</f>
        <v>209125</v>
      </c>
      <c r="AL26" s="91" t="n">
        <f aca="false">AVERAGE(AD26,AG26,AJ26)</f>
        <v>44187.5</v>
      </c>
      <c r="AM26" s="91" t="n">
        <f aca="false">((F26-AL26)/AL26)*100</f>
        <v>0</v>
      </c>
      <c r="AN26" s="92" t="n">
        <f aca="false">AL26/1.2</f>
        <v>36822.92</v>
      </c>
      <c r="AO26" s="92" t="n">
        <f aca="false">AL26*1.2</f>
        <v>53025</v>
      </c>
      <c r="AP26" s="86" t="n">
        <f aca="false">AND((AD26)&gt;=MIN(AN26),(AD26)&lt;=MAX(AO26))</f>
        <v>1</v>
      </c>
      <c r="AQ26" s="86" t="n">
        <f aca="false">AND((AG26)&gt;=MIN(AN26),(AG26)&lt;=MAX(AO26))</f>
        <v>1</v>
      </c>
      <c r="AR26" s="86" t="n">
        <f aca="false">AND((AJ26)&gt;=MIN(AN26),(AJ26)&lt;=MAX(AO26))</f>
        <v>1</v>
      </c>
    </row>
    <row r="27" s="38" customFormat="true" ht="90" hidden="false" customHeight="true" outlineLevel="0" collapsed="false">
      <c r="A27" s="28" t="n">
        <v>17</v>
      </c>
      <c r="B27" s="100"/>
      <c r="C27" s="29" t="s">
        <v>85</v>
      </c>
      <c r="D27" s="30" t="s">
        <v>40</v>
      </c>
      <c r="E27" s="31" t="n">
        <v>5</v>
      </c>
      <c r="F27" s="32" t="n">
        <f aca="false">P27</f>
        <v>36443.75</v>
      </c>
      <c r="G27" s="95" t="s">
        <v>86</v>
      </c>
      <c r="H27" s="34" t="n">
        <f aca="false">41650/1.2*1.05</f>
        <v>36443.75</v>
      </c>
      <c r="I27" s="34" t="n">
        <f aca="false">E27*H27</f>
        <v>182218.75</v>
      </c>
      <c r="J27" s="95" t="s">
        <v>87</v>
      </c>
      <c r="K27" s="34" t="n">
        <f aca="false">41650/1.2*1.05</f>
        <v>36443.75</v>
      </c>
      <c r="L27" s="34" t="n">
        <f aca="false">E27*K27</f>
        <v>182218.75</v>
      </c>
      <c r="M27" s="33" t="s">
        <v>88</v>
      </c>
      <c r="N27" s="34" t="n">
        <f aca="false">41650/1.2*1.05</f>
        <v>36443.75</v>
      </c>
      <c r="O27" s="34" t="n">
        <f aca="false">E27*N27</f>
        <v>182218.75</v>
      </c>
      <c r="P27" s="35" t="n">
        <f aca="false">AVERAGE(H27,K27,N27)</f>
        <v>36443.75</v>
      </c>
      <c r="Q27" s="36" t="n">
        <f aca="false">F27*100/P27-100</f>
        <v>0</v>
      </c>
      <c r="R27" s="35" t="n">
        <f aca="false">P27*E27</f>
        <v>182218.75</v>
      </c>
      <c r="S27" s="37"/>
      <c r="U27" s="39" t="n">
        <f aca="false">ROUND(H27*100/P27-100,0)</f>
        <v>0</v>
      </c>
      <c r="V27" s="39" t="n">
        <f aca="false">ROUND(K27*100/P27-100,0)</f>
        <v>0</v>
      </c>
      <c r="W27" s="39" t="n">
        <f aca="false">ROUND(N27*100/P27-100,0)</f>
        <v>0</v>
      </c>
      <c r="X27" s="85" t="n">
        <f aca="false">P27/1.2</f>
        <v>30369.79</v>
      </c>
      <c r="Y27" s="85" t="n">
        <f aca="false">P27*1.2</f>
        <v>43732.5</v>
      </c>
      <c r="Z27" s="86" t="n">
        <f aca="false">AND((H27)&gt;=MIN(X27),(H27)&lt;=MAX(Y27))</f>
        <v>1</v>
      </c>
      <c r="AA27" s="86" t="n">
        <f aca="false">AND((K27)&gt;=MIN(X27),(K27)&lt;=MAX(Y27))</f>
        <v>1</v>
      </c>
      <c r="AB27" s="86" t="n">
        <f aca="false">AND((N27)&gt;=MIN(X27),(N27)&lt;=MAX(Y27))</f>
        <v>1</v>
      </c>
      <c r="AC27" s="95" t="s">
        <v>86</v>
      </c>
      <c r="AD27" s="88" t="n">
        <f aca="false">45800/1.2*1.05</f>
        <v>40075</v>
      </c>
      <c r="AE27" s="88" t="n">
        <f aca="false">AD27*E27</f>
        <v>200375</v>
      </c>
      <c r="AF27" s="95" t="s">
        <v>87</v>
      </c>
      <c r="AG27" s="88" t="n">
        <f aca="false">45800/1.2*1.05</f>
        <v>40075</v>
      </c>
      <c r="AH27" s="89" t="n">
        <f aca="false">AG27*E27</f>
        <v>200375</v>
      </c>
      <c r="AI27" s="95" t="s">
        <v>88</v>
      </c>
      <c r="AJ27" s="88" t="n">
        <f aca="false">45800/1.2*1.05</f>
        <v>40075</v>
      </c>
      <c r="AK27" s="89" t="n">
        <f aca="false">AJ27*E27</f>
        <v>200375</v>
      </c>
      <c r="AL27" s="91" t="n">
        <f aca="false">AVERAGE(AD27,AG27,AJ27)</f>
        <v>40075</v>
      </c>
      <c r="AM27" s="91" t="n">
        <f aca="false">((F27-AL27)/AL27)*100</f>
        <v>-9.06</v>
      </c>
      <c r="AN27" s="92" t="n">
        <f aca="false">AL27/1.2</f>
        <v>33395.83</v>
      </c>
      <c r="AO27" s="92" t="n">
        <f aca="false">AL27*1.2</f>
        <v>48090</v>
      </c>
      <c r="AP27" s="86" t="n">
        <f aca="false">AND((AD27)&gt;=MIN(AN27),(AD27)&lt;=MAX(AO27))</f>
        <v>1</v>
      </c>
      <c r="AQ27" s="86" t="n">
        <f aca="false">AND((AG27)&gt;=MIN(AN27),(AG27)&lt;=MAX(AO27))</f>
        <v>1</v>
      </c>
      <c r="AR27" s="86" t="n">
        <f aca="false">AND((AJ27)&gt;=MIN(AN27),(AJ27)&lt;=MAX(AO27))</f>
        <v>1</v>
      </c>
    </row>
    <row r="28" s="38" customFormat="true" ht="165" hidden="false" customHeight="true" outlineLevel="0" collapsed="false">
      <c r="A28" s="28" t="n">
        <v>18</v>
      </c>
      <c r="B28" s="84" t="s">
        <v>730</v>
      </c>
      <c r="C28" s="29" t="s">
        <v>89</v>
      </c>
      <c r="D28" s="30" t="s">
        <v>40</v>
      </c>
      <c r="E28" s="31" t="n">
        <v>10</v>
      </c>
      <c r="F28" s="32" t="n">
        <f aca="false">P28</f>
        <v>420.58</v>
      </c>
      <c r="G28" s="95" t="s">
        <v>90</v>
      </c>
      <c r="H28" s="34" t="n">
        <f aca="false">480/1.2*1.05</f>
        <v>420</v>
      </c>
      <c r="I28" s="34" t="n">
        <f aca="false">E28*H28</f>
        <v>4200</v>
      </c>
      <c r="J28" s="95" t="s">
        <v>91</v>
      </c>
      <c r="K28" s="34" t="n">
        <f aca="false">452/1.2*1.05</f>
        <v>395.5</v>
      </c>
      <c r="L28" s="34" t="n">
        <f aca="false">E28*K28</f>
        <v>3955</v>
      </c>
      <c r="M28" s="95" t="s">
        <v>92</v>
      </c>
      <c r="N28" s="34" t="n">
        <f aca="false">510/1.2*1.05</f>
        <v>446.25</v>
      </c>
      <c r="O28" s="34" t="n">
        <f aca="false">E28*N28</f>
        <v>4462.5</v>
      </c>
      <c r="P28" s="35" t="n">
        <f aca="false">AVERAGE(H28,K28,N28)</f>
        <v>420.58</v>
      </c>
      <c r="Q28" s="36" t="n">
        <f aca="false">F28*100/P28-100</f>
        <v>0</v>
      </c>
      <c r="R28" s="35" t="n">
        <f aca="false">P28*E28</f>
        <v>4205.8</v>
      </c>
      <c r="S28" s="37"/>
      <c r="U28" s="39" t="n">
        <f aca="false">ROUND(H28*100/P28-100,0)</f>
        <v>-0</v>
      </c>
      <c r="V28" s="39" t="n">
        <f aca="false">ROUND(K28*100/P28-100,0)</f>
        <v>-6</v>
      </c>
      <c r="W28" s="39" t="n">
        <f aca="false">ROUND(N28*100/P28-100,0)</f>
        <v>6</v>
      </c>
      <c r="X28" s="85" t="n">
        <f aca="false">P28/1.2</f>
        <v>350.48</v>
      </c>
      <c r="Y28" s="85" t="n">
        <f aca="false">P28*1.2</f>
        <v>504.7</v>
      </c>
      <c r="Z28" s="86" t="n">
        <f aca="false">AND((H28)&gt;=MIN(X28),(H28)&lt;=MAX(Y28))</f>
        <v>1</v>
      </c>
      <c r="AA28" s="86" t="n">
        <f aca="false">AND((K28)&gt;=MIN(X28),(K28)&lt;=MAX(Y28))</f>
        <v>1</v>
      </c>
      <c r="AB28" s="86" t="n">
        <f aca="false">AND((N28)&gt;=MIN(X28),(N28)&lt;=MAX(Y28))</f>
        <v>1</v>
      </c>
      <c r="AC28" s="95"/>
      <c r="AD28" s="88"/>
      <c r="AE28" s="88" t="n">
        <f aca="false">AD28*E28</f>
        <v>0</v>
      </c>
      <c r="AF28" s="95"/>
      <c r="AG28" s="88"/>
      <c r="AH28" s="89" t="n">
        <f aca="false">AG28*E28</f>
        <v>0</v>
      </c>
      <c r="AI28" s="95"/>
      <c r="AJ28" s="88"/>
      <c r="AK28" s="89" t="n">
        <f aca="false">AJ28*E28</f>
        <v>0</v>
      </c>
      <c r="AL28" s="91" t="e">
        <f aca="false">AVERAGE(AD28,AG28,AJ28)</f>
        <v>#DIV/0!</v>
      </c>
      <c r="AM28" s="91" t="e">
        <f aca="false">((F28-AL28)/AL28)*100</f>
        <v>#DIV/0!</v>
      </c>
      <c r="AN28" s="92" t="e">
        <f aca="false">AL28/1.2</f>
        <v>#DIV/0!</v>
      </c>
      <c r="AO28" s="92" t="e">
        <f aca="false">AL28*1.2</f>
        <v>#DIV/0!</v>
      </c>
      <c r="AP28" s="86" t="e">
        <f aca="false">AND((AD28)&gt;=MIN(AN28),(AD28)&lt;=MAX(AO28))</f>
        <v>#DIV/0!</v>
      </c>
      <c r="AQ28" s="86" t="e">
        <f aca="false">AND((AG28)&gt;=MIN(AN28),(AG28)&lt;=MAX(AO28))</f>
        <v>#DIV/0!</v>
      </c>
      <c r="AR28" s="86" t="e">
        <f aca="false">AND((AJ28)&gt;=MIN(AN28),(AJ28)&lt;=MAX(AO28))</f>
        <v>#DIV/0!</v>
      </c>
    </row>
    <row r="29" s="38" customFormat="true" ht="76.5" hidden="false" customHeight="true" outlineLevel="0" collapsed="false">
      <c r="A29" s="28" t="n">
        <v>19</v>
      </c>
      <c r="B29" s="84" t="s">
        <v>730</v>
      </c>
      <c r="C29" s="29" t="s">
        <v>93</v>
      </c>
      <c r="D29" s="30" t="s">
        <v>40</v>
      </c>
      <c r="E29" s="31" t="n">
        <v>10</v>
      </c>
      <c r="F29" s="32" t="n">
        <f aca="false">P29</f>
        <v>371.3</v>
      </c>
      <c r="G29" s="40" t="s">
        <v>94</v>
      </c>
      <c r="H29" s="34" t="n">
        <f aca="false">423/1.2*1.05</f>
        <v>370.13</v>
      </c>
      <c r="I29" s="34" t="n">
        <f aca="false">E29*H29</f>
        <v>3701.3</v>
      </c>
      <c r="J29" s="40" t="s">
        <v>95</v>
      </c>
      <c r="K29" s="34" t="n">
        <f aca="false">427/1.2*1.05</f>
        <v>373.63</v>
      </c>
      <c r="L29" s="34" t="n">
        <f aca="false">E29*K29</f>
        <v>3736.3</v>
      </c>
      <c r="M29" s="40" t="s">
        <v>96</v>
      </c>
      <c r="N29" s="34" t="n">
        <f aca="false">423/1.2*1.05</f>
        <v>370.13</v>
      </c>
      <c r="O29" s="34" t="n">
        <f aca="false">E29*N29</f>
        <v>3701.3</v>
      </c>
      <c r="P29" s="35" t="n">
        <f aca="false">AVERAGE(H29,K29,N29)</f>
        <v>371.3</v>
      </c>
      <c r="Q29" s="36" t="n">
        <f aca="false">F29*100/P29-100</f>
        <v>0</v>
      </c>
      <c r="R29" s="35" t="n">
        <f aca="false">P29*E29</f>
        <v>3713</v>
      </c>
      <c r="S29" s="37"/>
      <c r="U29" s="39" t="n">
        <f aca="false">ROUND(H29*100/P29-100,0)</f>
        <v>-0</v>
      </c>
      <c r="V29" s="39" t="n">
        <f aca="false">ROUND(K29*100/P29-100,0)</f>
        <v>1</v>
      </c>
      <c r="W29" s="39" t="n">
        <f aca="false">ROUND(N29*100/P29-100,0)</f>
        <v>-0</v>
      </c>
      <c r="X29" s="85" t="n">
        <f aca="false">P29/1.2</f>
        <v>309.42</v>
      </c>
      <c r="Y29" s="85" t="n">
        <f aca="false">P29*1.2</f>
        <v>445.56</v>
      </c>
      <c r="Z29" s="86" t="n">
        <f aca="false">AND((H29)&gt;=MIN(X29),(H29)&lt;=MAX(Y29))</f>
        <v>1</v>
      </c>
      <c r="AA29" s="86" t="n">
        <f aca="false">AND((K29)&gt;=MIN(X29),(K29)&lt;=MAX(Y29))</f>
        <v>1</v>
      </c>
      <c r="AB29" s="86" t="n">
        <f aca="false">AND((N29)&gt;=MIN(X29),(N29)&lt;=MAX(Y29))</f>
        <v>1</v>
      </c>
      <c r="AC29" s="95"/>
      <c r="AD29" s="88"/>
      <c r="AE29" s="88" t="n">
        <f aca="false">AD29*E29</f>
        <v>0</v>
      </c>
      <c r="AF29" s="95"/>
      <c r="AG29" s="88"/>
      <c r="AH29" s="89" t="n">
        <f aca="false">AG29*E29</f>
        <v>0</v>
      </c>
      <c r="AI29" s="95"/>
      <c r="AJ29" s="88"/>
      <c r="AK29" s="89" t="n">
        <f aca="false">AJ29*E29</f>
        <v>0</v>
      </c>
      <c r="AL29" s="91" t="e">
        <f aca="false">AVERAGE(AD29,AG29,AJ29)</f>
        <v>#DIV/0!</v>
      </c>
      <c r="AM29" s="91" t="e">
        <f aca="false">((F29-AL29)/AL29)*100</f>
        <v>#DIV/0!</v>
      </c>
      <c r="AN29" s="92" t="e">
        <f aca="false">AL29/1.2</f>
        <v>#DIV/0!</v>
      </c>
      <c r="AO29" s="92" t="e">
        <f aca="false">AL29*1.2</f>
        <v>#DIV/0!</v>
      </c>
      <c r="AP29" s="86" t="e">
        <f aca="false">AND((AD29)&gt;=MIN(AN29),(AD29)&lt;=MAX(AO29))</f>
        <v>#DIV/0!</v>
      </c>
      <c r="AQ29" s="86" t="e">
        <f aca="false">AND((AG29)&gt;=MIN(AN29),(AG29)&lt;=MAX(AO29))</f>
        <v>#DIV/0!</v>
      </c>
      <c r="AR29" s="86" t="e">
        <f aca="false">AND((AJ29)&gt;=MIN(AN29),(AJ29)&lt;=MAX(AO29))</f>
        <v>#DIV/0!</v>
      </c>
    </row>
    <row r="30" s="38" customFormat="true" ht="76.5" hidden="false" customHeight="true" outlineLevel="0" collapsed="false">
      <c r="A30" s="28" t="n">
        <v>20</v>
      </c>
      <c r="B30" s="84" t="s">
        <v>730</v>
      </c>
      <c r="C30" s="29" t="s">
        <v>97</v>
      </c>
      <c r="D30" s="30" t="s">
        <v>40</v>
      </c>
      <c r="E30" s="31" t="n">
        <v>5</v>
      </c>
      <c r="F30" s="32" t="n">
        <f aca="false">P30</f>
        <v>664.13</v>
      </c>
      <c r="G30" s="40" t="s">
        <v>98</v>
      </c>
      <c r="H30" s="34" t="n">
        <f aca="false">746/1.2*1.05</f>
        <v>652.75</v>
      </c>
      <c r="I30" s="34" t="n">
        <f aca="false">E30*H30</f>
        <v>3263.75</v>
      </c>
      <c r="J30" s="33" t="s">
        <v>99</v>
      </c>
      <c r="K30" s="34" t="n">
        <f aca="false">785/1.2*1.05</f>
        <v>686.88</v>
      </c>
      <c r="L30" s="34" t="n">
        <f aca="false">E30*K30</f>
        <v>3434.4</v>
      </c>
      <c r="M30" s="40" t="s">
        <v>100</v>
      </c>
      <c r="N30" s="34" t="n">
        <f aca="false">746/1.2*1.05</f>
        <v>652.75</v>
      </c>
      <c r="O30" s="34" t="n">
        <f aca="false">E30*N30</f>
        <v>3263.75</v>
      </c>
      <c r="P30" s="35" t="n">
        <f aca="false">AVERAGE(H30,K30,N30)</f>
        <v>664.13</v>
      </c>
      <c r="Q30" s="36" t="n">
        <f aca="false">F30*100/P30-100</f>
        <v>0</v>
      </c>
      <c r="R30" s="35" t="n">
        <f aca="false">P30*E30</f>
        <v>3320.65</v>
      </c>
      <c r="S30" s="37"/>
      <c r="U30" s="39" t="n">
        <f aca="false">ROUND(H30*100/P30-100,0)</f>
        <v>-2</v>
      </c>
      <c r="V30" s="39" t="n">
        <f aca="false">ROUND(K30*100/P30-100,0)</f>
        <v>3</v>
      </c>
      <c r="W30" s="39" t="n">
        <f aca="false">ROUND(N30*100/P30-100,0)</f>
        <v>-2</v>
      </c>
      <c r="X30" s="85" t="n">
        <f aca="false">P30/1.2</f>
        <v>553.44</v>
      </c>
      <c r="Y30" s="85" t="n">
        <f aca="false">P30*1.2</f>
        <v>796.96</v>
      </c>
      <c r="Z30" s="86" t="n">
        <f aca="false">AND((H30)&gt;=MIN(X30),(H30)&lt;=MAX(Y30))</f>
        <v>1</v>
      </c>
      <c r="AA30" s="86" t="n">
        <f aca="false">AND((K30)&gt;=MIN(X30),(K30)&lt;=MAX(Y30))</f>
        <v>1</v>
      </c>
      <c r="AB30" s="86" t="n">
        <f aca="false">AND((N30)&gt;=MIN(X30),(N30)&lt;=MAX(Y30))</f>
        <v>1</v>
      </c>
      <c r="AC30" s="95"/>
      <c r="AD30" s="88"/>
      <c r="AE30" s="88" t="n">
        <f aca="false">AD30*E30</f>
        <v>0</v>
      </c>
      <c r="AF30" s="95"/>
      <c r="AG30" s="88"/>
      <c r="AH30" s="89" t="n">
        <f aca="false">AG30*E30</f>
        <v>0</v>
      </c>
      <c r="AI30" s="95"/>
      <c r="AJ30" s="88"/>
      <c r="AK30" s="89" t="n">
        <f aca="false">AJ30*E30</f>
        <v>0</v>
      </c>
      <c r="AL30" s="91" t="e">
        <f aca="false">AVERAGE(AD30,AG30,AJ30)</f>
        <v>#DIV/0!</v>
      </c>
      <c r="AM30" s="91" t="e">
        <f aca="false">((F30-AL30)/AL30)*100</f>
        <v>#DIV/0!</v>
      </c>
      <c r="AN30" s="92" t="e">
        <f aca="false">AL30/1.2</f>
        <v>#DIV/0!</v>
      </c>
      <c r="AO30" s="92" t="e">
        <f aca="false">AL30*1.2</f>
        <v>#DIV/0!</v>
      </c>
      <c r="AP30" s="86" t="e">
        <f aca="false">AND((AD30)&gt;=MIN(AN30),(AD30)&lt;=MAX(AO30))</f>
        <v>#DIV/0!</v>
      </c>
      <c r="AQ30" s="86" t="e">
        <f aca="false">AND((AG30)&gt;=MIN(AN30),(AG30)&lt;=MAX(AO30))</f>
        <v>#DIV/0!</v>
      </c>
      <c r="AR30" s="86" t="e">
        <f aca="false">AND((AJ30)&gt;=MIN(AN30),(AJ30)&lt;=MAX(AO30))</f>
        <v>#DIV/0!</v>
      </c>
    </row>
    <row r="31" s="38" customFormat="true" ht="38.25" hidden="false" customHeight="true" outlineLevel="0" collapsed="false">
      <c r="A31" s="28" t="n">
        <v>21</v>
      </c>
      <c r="B31" s="84" t="s">
        <v>730</v>
      </c>
      <c r="C31" s="29" t="s">
        <v>101</v>
      </c>
      <c r="D31" s="30" t="s">
        <v>40</v>
      </c>
      <c r="E31" s="31" t="n">
        <v>10</v>
      </c>
      <c r="F31" s="32" t="n">
        <f aca="false">P31</f>
        <v>679</v>
      </c>
      <c r="G31" s="40" t="s">
        <v>102</v>
      </c>
      <c r="H31" s="34" t="n">
        <f aca="false">751/1.2*1.05</f>
        <v>657.13</v>
      </c>
      <c r="I31" s="34" t="n">
        <f aca="false">E31*H31</f>
        <v>6571.3</v>
      </c>
      <c r="J31" s="40" t="s">
        <v>103</v>
      </c>
      <c r="K31" s="34" t="n">
        <f aca="false">793/1.2*1.05</f>
        <v>693.88</v>
      </c>
      <c r="L31" s="34" t="n">
        <f aca="false">E31*K31</f>
        <v>6938.8</v>
      </c>
      <c r="M31" s="40" t="s">
        <v>104</v>
      </c>
      <c r="N31" s="34" t="n">
        <f aca="false">784/1.2*1.05</f>
        <v>686</v>
      </c>
      <c r="O31" s="34" t="n">
        <f aca="false">E31*N31</f>
        <v>6860</v>
      </c>
      <c r="P31" s="35" t="n">
        <f aca="false">AVERAGE(H31,K31,N31)</f>
        <v>679</v>
      </c>
      <c r="Q31" s="36" t="n">
        <f aca="false">F31*100/P31-100</f>
        <v>0</v>
      </c>
      <c r="R31" s="35" t="n">
        <f aca="false">P31*E31</f>
        <v>6790</v>
      </c>
      <c r="S31" s="37"/>
      <c r="U31" s="39" t="n">
        <f aca="false">ROUND(H31*100/P31-100,0)</f>
        <v>-3</v>
      </c>
      <c r="V31" s="39" t="n">
        <f aca="false">ROUND(K31*100/P31-100,0)</f>
        <v>2</v>
      </c>
      <c r="W31" s="39" t="n">
        <f aca="false">ROUND(N31*100/P31-100,0)</f>
        <v>1</v>
      </c>
      <c r="X31" s="85" t="n">
        <f aca="false">P31/1.2</f>
        <v>565.83</v>
      </c>
      <c r="Y31" s="85" t="n">
        <f aca="false">P31*1.2</f>
        <v>814.8</v>
      </c>
      <c r="Z31" s="86" t="n">
        <f aca="false">AND((H31)&gt;=MIN(X31),(H31)&lt;=MAX(Y31))</f>
        <v>1</v>
      </c>
      <c r="AA31" s="86" t="n">
        <f aca="false">AND((K31)&gt;=MIN(X31),(K31)&lt;=MAX(Y31))</f>
        <v>1</v>
      </c>
      <c r="AB31" s="86" t="n">
        <f aca="false">AND((N31)&gt;=MIN(X31),(N31)&lt;=MAX(Y31))</f>
        <v>1</v>
      </c>
      <c r="AC31" s="95"/>
      <c r="AD31" s="88"/>
      <c r="AE31" s="88" t="n">
        <f aca="false">AD31*E31</f>
        <v>0</v>
      </c>
      <c r="AF31" s="95"/>
      <c r="AG31" s="88"/>
      <c r="AH31" s="89" t="n">
        <f aca="false">AG31*E31</f>
        <v>0</v>
      </c>
      <c r="AI31" s="95"/>
      <c r="AJ31" s="88"/>
      <c r="AK31" s="89" t="n">
        <f aca="false">AJ31*E31</f>
        <v>0</v>
      </c>
      <c r="AL31" s="91" t="e">
        <f aca="false">AVERAGE(AD31,AG31,AJ31)</f>
        <v>#DIV/0!</v>
      </c>
      <c r="AM31" s="91" t="e">
        <f aca="false">((F31-AL31)/AL31)*100</f>
        <v>#DIV/0!</v>
      </c>
      <c r="AN31" s="92" t="e">
        <f aca="false">AL31/1.2</f>
        <v>#DIV/0!</v>
      </c>
      <c r="AO31" s="92" t="e">
        <f aca="false">AL31*1.2</f>
        <v>#DIV/0!</v>
      </c>
      <c r="AP31" s="86" t="e">
        <f aca="false">AND((AD31)&gt;=MIN(AN31),(AD31)&lt;=MAX(AO31))</f>
        <v>#DIV/0!</v>
      </c>
      <c r="AQ31" s="86" t="e">
        <f aca="false">AND((AG31)&gt;=MIN(AN31),(AG31)&lt;=MAX(AO31))</f>
        <v>#DIV/0!</v>
      </c>
      <c r="AR31" s="86" t="e">
        <f aca="false">AND((AJ31)&gt;=MIN(AN31),(AJ31)&lt;=MAX(AO31))</f>
        <v>#DIV/0!</v>
      </c>
    </row>
    <row r="32" s="38" customFormat="true" ht="76.5" hidden="false" customHeight="true" outlineLevel="0" collapsed="false">
      <c r="A32" s="28" t="n">
        <v>22</v>
      </c>
      <c r="B32" s="84" t="s">
        <v>730</v>
      </c>
      <c r="C32" s="29" t="s">
        <v>105</v>
      </c>
      <c r="D32" s="30" t="s">
        <v>40</v>
      </c>
      <c r="E32" s="31" t="n">
        <v>10</v>
      </c>
      <c r="F32" s="32" t="n">
        <f aca="false">P32</f>
        <v>338.04</v>
      </c>
      <c r="G32" s="42" t="s">
        <v>106</v>
      </c>
      <c r="H32" s="34" t="n">
        <f aca="false">358/1.2*1.05</f>
        <v>313.25</v>
      </c>
      <c r="I32" s="34" t="n">
        <f aca="false">E32*H32</f>
        <v>3132.5</v>
      </c>
      <c r="J32" s="42" t="s">
        <v>107</v>
      </c>
      <c r="K32" s="34" t="n">
        <f aca="false">381/1.2*1.05</f>
        <v>333.38</v>
      </c>
      <c r="L32" s="34" t="n">
        <f aca="false">E32*K32</f>
        <v>3333.8</v>
      </c>
      <c r="M32" s="42" t="s">
        <v>108</v>
      </c>
      <c r="N32" s="34" t="n">
        <f aca="false">420/1.2*1.05</f>
        <v>367.5</v>
      </c>
      <c r="O32" s="34" t="n">
        <f aca="false">E32*N32</f>
        <v>3675</v>
      </c>
      <c r="P32" s="35" t="n">
        <f aca="false">AVERAGE(H32,K32,N32)</f>
        <v>338.04</v>
      </c>
      <c r="Q32" s="36" t="n">
        <f aca="false">F32*100/P32-100</f>
        <v>0</v>
      </c>
      <c r="R32" s="35" t="n">
        <f aca="false">P32*E32</f>
        <v>3380.4</v>
      </c>
      <c r="S32" s="37"/>
      <c r="U32" s="39" t="n">
        <f aca="false">ROUND(H32*100/P32-100,0)</f>
        <v>-7</v>
      </c>
      <c r="V32" s="39" t="n">
        <f aca="false">ROUND(K32*100/P32-100,0)</f>
        <v>-1</v>
      </c>
      <c r="W32" s="39" t="n">
        <f aca="false">ROUND(N32*100/P32-100,0)</f>
        <v>9</v>
      </c>
      <c r="X32" s="85" t="n">
        <f aca="false">P32/1.2</f>
        <v>281.7</v>
      </c>
      <c r="Y32" s="85" t="n">
        <f aca="false">P32*1.2</f>
        <v>405.65</v>
      </c>
      <c r="Z32" s="86" t="n">
        <f aca="false">AND((H32)&gt;=MIN(X32),(H32)&lt;=MAX(Y32))</f>
        <v>1</v>
      </c>
      <c r="AA32" s="86" t="n">
        <f aca="false">AND((K32)&gt;=MIN(X32),(K32)&lt;=MAX(Y32))</f>
        <v>1</v>
      </c>
      <c r="AB32" s="86" t="n">
        <f aca="false">AND((N32)&gt;=MIN(X32),(N32)&lt;=MAX(Y32))</f>
        <v>1</v>
      </c>
      <c r="AC32" s="95"/>
      <c r="AD32" s="88"/>
      <c r="AE32" s="88" t="n">
        <f aca="false">AD32*E32</f>
        <v>0</v>
      </c>
      <c r="AF32" s="95"/>
      <c r="AG32" s="88"/>
      <c r="AH32" s="89" t="n">
        <f aca="false">AG32*E32</f>
        <v>0</v>
      </c>
      <c r="AI32" s="95"/>
      <c r="AJ32" s="88"/>
      <c r="AK32" s="89" t="n">
        <f aca="false">AJ32*E32</f>
        <v>0</v>
      </c>
      <c r="AL32" s="91" t="e">
        <f aca="false">AVERAGE(AD32,AG32,AJ32)</f>
        <v>#DIV/0!</v>
      </c>
      <c r="AM32" s="91" t="e">
        <f aca="false">((F32-AL32)/AL32)*100</f>
        <v>#DIV/0!</v>
      </c>
      <c r="AN32" s="92" t="e">
        <f aca="false">AL32/1.2</f>
        <v>#DIV/0!</v>
      </c>
      <c r="AO32" s="92" t="e">
        <f aca="false">AL32*1.2</f>
        <v>#DIV/0!</v>
      </c>
      <c r="AP32" s="86" t="e">
        <f aca="false">AND((AD32)&gt;=MIN(AN32),(AD32)&lt;=MAX(AO32))</f>
        <v>#DIV/0!</v>
      </c>
      <c r="AQ32" s="86" t="e">
        <f aca="false">AND((AG32)&gt;=MIN(AN32),(AG32)&lt;=MAX(AO32))</f>
        <v>#DIV/0!</v>
      </c>
      <c r="AR32" s="86" t="e">
        <f aca="false">AND((AJ32)&gt;=MIN(AN32),(AJ32)&lt;=MAX(AO32))</f>
        <v>#DIV/0!</v>
      </c>
    </row>
    <row r="33" s="38" customFormat="true" ht="51" hidden="false" customHeight="true" outlineLevel="0" collapsed="false">
      <c r="A33" s="28" t="n">
        <v>23</v>
      </c>
      <c r="B33" s="84" t="s">
        <v>730</v>
      </c>
      <c r="C33" s="29" t="s">
        <v>109</v>
      </c>
      <c r="D33" s="30" t="s">
        <v>40</v>
      </c>
      <c r="E33" s="31" t="n">
        <v>5</v>
      </c>
      <c r="F33" s="32" t="n">
        <f aca="false">P33</f>
        <v>180.59</v>
      </c>
      <c r="G33" s="42" t="s">
        <v>110</v>
      </c>
      <c r="H33" s="34" t="n">
        <f aca="false">207.97/1.2*1.05</f>
        <v>181.97</v>
      </c>
      <c r="I33" s="34" t="n">
        <f aca="false">E33*H33</f>
        <v>909.85</v>
      </c>
      <c r="J33" s="42" t="s">
        <v>111</v>
      </c>
      <c r="K33" s="34" t="n">
        <f aca="false">210/1.2*1.05</f>
        <v>183.75</v>
      </c>
      <c r="L33" s="34" t="n">
        <f aca="false">E33*K33</f>
        <v>918.75</v>
      </c>
      <c r="M33" s="42" t="s">
        <v>112</v>
      </c>
      <c r="N33" s="34" t="n">
        <f aca="false">2012/10/1.2*1.05</f>
        <v>176.05</v>
      </c>
      <c r="O33" s="34" t="n">
        <f aca="false">E33*N33</f>
        <v>880.25</v>
      </c>
      <c r="P33" s="35" t="n">
        <f aca="false">AVERAGE(H33,K33,N33)</f>
        <v>180.59</v>
      </c>
      <c r="Q33" s="36" t="n">
        <f aca="false">F33*100/P33-100</f>
        <v>0</v>
      </c>
      <c r="R33" s="35" t="n">
        <f aca="false">P33*E33</f>
        <v>902.95</v>
      </c>
      <c r="S33" s="37"/>
      <c r="U33" s="39" t="n">
        <f aca="false">ROUND(H33*100/P33-100,0)</f>
        <v>1</v>
      </c>
      <c r="V33" s="39" t="n">
        <f aca="false">ROUND(K33*100/P33-100,0)</f>
        <v>2</v>
      </c>
      <c r="W33" s="39" t="n">
        <f aca="false">ROUND(N33*100/P33-100,0)</f>
        <v>-3</v>
      </c>
      <c r="X33" s="85" t="n">
        <f aca="false">P33/1.2</f>
        <v>150.49</v>
      </c>
      <c r="Y33" s="85" t="n">
        <f aca="false">P33*1.2</f>
        <v>216.71</v>
      </c>
      <c r="Z33" s="86" t="n">
        <f aca="false">AND((H33)&gt;=MIN(X33),(H33)&lt;=MAX(Y33))</f>
        <v>1</v>
      </c>
      <c r="AA33" s="86" t="n">
        <f aca="false">AND((K33)&gt;=MIN(X33),(K33)&lt;=MAX(Y33))</f>
        <v>1</v>
      </c>
      <c r="AB33" s="86" t="n">
        <f aca="false">AND((N33)&gt;=MIN(X33),(N33)&lt;=MAX(Y33))</f>
        <v>1</v>
      </c>
      <c r="AC33" s="95"/>
      <c r="AD33" s="88"/>
      <c r="AE33" s="88" t="n">
        <f aca="false">AD33*E33</f>
        <v>0</v>
      </c>
      <c r="AF33" s="95"/>
      <c r="AG33" s="88"/>
      <c r="AH33" s="89" t="n">
        <f aca="false">AG33*E33</f>
        <v>0</v>
      </c>
      <c r="AI33" s="95"/>
      <c r="AJ33" s="88"/>
      <c r="AK33" s="89" t="n">
        <f aca="false">AJ33*E33</f>
        <v>0</v>
      </c>
      <c r="AL33" s="91" t="e">
        <f aca="false">AVERAGE(AD33,AG33,AJ33)</f>
        <v>#DIV/0!</v>
      </c>
      <c r="AM33" s="91" t="e">
        <f aca="false">((F33-AL33)/AL33)*100</f>
        <v>#DIV/0!</v>
      </c>
      <c r="AN33" s="92" t="e">
        <f aca="false">AL33/1.2</f>
        <v>#DIV/0!</v>
      </c>
      <c r="AO33" s="92" t="e">
        <f aca="false">AL33*1.2</f>
        <v>#DIV/0!</v>
      </c>
      <c r="AP33" s="86" t="e">
        <f aca="false">AND((AD33)&gt;=MIN(AN33),(AD33)&lt;=MAX(AO33))</f>
        <v>#DIV/0!</v>
      </c>
      <c r="AQ33" s="86" t="e">
        <f aca="false">AND((AG33)&gt;=MIN(AN33),(AG33)&lt;=MAX(AO33))</f>
        <v>#DIV/0!</v>
      </c>
      <c r="AR33" s="86" t="e">
        <f aca="false">AND((AJ33)&gt;=MIN(AN33),(AJ33)&lt;=MAX(AO33))</f>
        <v>#DIV/0!</v>
      </c>
    </row>
    <row r="34" s="38" customFormat="true" ht="102" hidden="false" customHeight="true" outlineLevel="0" collapsed="false">
      <c r="A34" s="28" t="n">
        <v>24</v>
      </c>
      <c r="B34" s="84" t="s">
        <v>730</v>
      </c>
      <c r="C34" s="29" t="s">
        <v>113</v>
      </c>
      <c r="D34" s="30" t="s">
        <v>40</v>
      </c>
      <c r="E34" s="31" t="n">
        <v>10</v>
      </c>
      <c r="F34" s="32" t="n">
        <f aca="false">P34</f>
        <v>355.25</v>
      </c>
      <c r="G34" s="42" t="s">
        <v>114</v>
      </c>
      <c r="H34" s="34" t="n">
        <f aca="false">406/1.2*1.05</f>
        <v>355.25</v>
      </c>
      <c r="I34" s="34" t="n">
        <f aca="false">E34*H34</f>
        <v>3552.5</v>
      </c>
      <c r="J34" s="42" t="s">
        <v>115</v>
      </c>
      <c r="K34" s="34" t="n">
        <f aca="false">406/1.2*1.05</f>
        <v>355.25</v>
      </c>
      <c r="L34" s="34" t="n">
        <f aca="false">E34*K34</f>
        <v>3552.5</v>
      </c>
      <c r="M34" s="42" t="s">
        <v>116</v>
      </c>
      <c r="N34" s="34" t="n">
        <f aca="false">406/1.2*1.05</f>
        <v>355.25</v>
      </c>
      <c r="O34" s="34" t="n">
        <f aca="false">E34*N34</f>
        <v>3552.5</v>
      </c>
      <c r="P34" s="35" t="n">
        <f aca="false">AVERAGE(H34,K34,N34)</f>
        <v>355.25</v>
      </c>
      <c r="Q34" s="36" t="n">
        <f aca="false">F34*100/P34-100</f>
        <v>0</v>
      </c>
      <c r="R34" s="35" t="n">
        <f aca="false">P34*E34</f>
        <v>3552.5</v>
      </c>
      <c r="S34" s="37"/>
      <c r="U34" s="39" t="n">
        <f aca="false">ROUND(H34*100/P34-100,0)</f>
        <v>0</v>
      </c>
      <c r="V34" s="39" t="n">
        <f aca="false">ROUND(K34*100/P34-100,0)</f>
        <v>0</v>
      </c>
      <c r="W34" s="39" t="n">
        <f aca="false">ROUND(N34*100/P34-100,0)</f>
        <v>0</v>
      </c>
      <c r="X34" s="85" t="n">
        <f aca="false">P34/1.2</f>
        <v>296.04</v>
      </c>
      <c r="Y34" s="85" t="n">
        <f aca="false">P34*1.2</f>
        <v>426.3</v>
      </c>
      <c r="Z34" s="86" t="n">
        <f aca="false">AND((H34)&gt;=MIN(X34),(H34)&lt;=MAX(Y34))</f>
        <v>1</v>
      </c>
      <c r="AA34" s="86" t="n">
        <f aca="false">AND((K34)&gt;=MIN(X34),(K34)&lt;=MAX(Y34))</f>
        <v>1</v>
      </c>
      <c r="AB34" s="86" t="n">
        <f aca="false">AND((N34)&gt;=MIN(X34),(N34)&lt;=MAX(Y34))</f>
        <v>1</v>
      </c>
      <c r="AC34" s="95"/>
      <c r="AD34" s="88"/>
      <c r="AE34" s="88" t="n">
        <f aca="false">AD34*E34</f>
        <v>0</v>
      </c>
      <c r="AF34" s="95"/>
      <c r="AG34" s="88"/>
      <c r="AH34" s="89" t="n">
        <f aca="false">AG34*E34</f>
        <v>0</v>
      </c>
      <c r="AI34" s="95"/>
      <c r="AJ34" s="88"/>
      <c r="AK34" s="89" t="n">
        <f aca="false">AJ34*E34</f>
        <v>0</v>
      </c>
      <c r="AL34" s="91" t="e">
        <f aca="false">AVERAGE(AD34,AG34,AJ34)</f>
        <v>#DIV/0!</v>
      </c>
      <c r="AM34" s="91" t="e">
        <f aca="false">((F34-AL34)/AL34)*100</f>
        <v>#DIV/0!</v>
      </c>
      <c r="AN34" s="92" t="e">
        <f aca="false">AL34/1.2</f>
        <v>#DIV/0!</v>
      </c>
      <c r="AO34" s="92" t="e">
        <f aca="false">AL34*1.2</f>
        <v>#DIV/0!</v>
      </c>
      <c r="AP34" s="86" t="e">
        <f aca="false">AND((AD34)&gt;=MIN(AN34),(AD34)&lt;=MAX(AO34))</f>
        <v>#DIV/0!</v>
      </c>
      <c r="AQ34" s="86" t="e">
        <f aca="false">AND((AG34)&gt;=MIN(AN34),(AG34)&lt;=MAX(AO34))</f>
        <v>#DIV/0!</v>
      </c>
      <c r="AR34" s="86" t="e">
        <f aca="false">AND((AJ34)&gt;=MIN(AN34),(AJ34)&lt;=MAX(AO34))</f>
        <v>#DIV/0!</v>
      </c>
    </row>
    <row r="35" s="38" customFormat="true" ht="102" hidden="false" customHeight="true" outlineLevel="0" collapsed="false">
      <c r="A35" s="28" t="n">
        <v>25</v>
      </c>
      <c r="B35" s="84" t="s">
        <v>730</v>
      </c>
      <c r="C35" s="29" t="s">
        <v>117</v>
      </c>
      <c r="D35" s="30" t="s">
        <v>40</v>
      </c>
      <c r="E35" s="31" t="n">
        <v>5</v>
      </c>
      <c r="F35" s="32" t="n">
        <f aca="false">P35</f>
        <v>575.67</v>
      </c>
      <c r="G35" s="42" t="s">
        <v>118</v>
      </c>
      <c r="H35" s="34" t="n">
        <f aca="false">657.72/1.2*1.05</f>
        <v>575.51</v>
      </c>
      <c r="I35" s="34" t="n">
        <f aca="false">E35*H35</f>
        <v>2877.55</v>
      </c>
      <c r="J35" s="42" t="s">
        <v>119</v>
      </c>
      <c r="K35" s="34" t="n">
        <f aca="false">658/1.2*1.05</f>
        <v>575.75</v>
      </c>
      <c r="L35" s="34" t="n">
        <f aca="false">E35*K35</f>
        <v>2878.75</v>
      </c>
      <c r="M35" s="42" t="s">
        <v>120</v>
      </c>
      <c r="N35" s="34" t="n">
        <f aca="false">658/1.2*1.05</f>
        <v>575.75</v>
      </c>
      <c r="O35" s="34" t="n">
        <f aca="false">E35*N35</f>
        <v>2878.75</v>
      </c>
      <c r="P35" s="35" t="n">
        <f aca="false">AVERAGE(H35,K35,N35)</f>
        <v>575.67</v>
      </c>
      <c r="Q35" s="36" t="n">
        <f aca="false">F35*100/P35-100</f>
        <v>0</v>
      </c>
      <c r="R35" s="35" t="n">
        <f aca="false">P35*E35</f>
        <v>2878.35</v>
      </c>
      <c r="S35" s="37"/>
      <c r="U35" s="39" t="n">
        <f aca="false">ROUND(H35*100/P35-100,0)</f>
        <v>-0</v>
      </c>
      <c r="V35" s="39" t="n">
        <f aca="false">ROUND(K35*100/P35-100,0)</f>
        <v>0</v>
      </c>
      <c r="W35" s="39" t="n">
        <f aca="false">ROUND(N35*100/P35-100,0)</f>
        <v>0</v>
      </c>
      <c r="X35" s="85" t="n">
        <f aca="false">P35/1.2</f>
        <v>479.73</v>
      </c>
      <c r="Y35" s="85" t="n">
        <f aca="false">P35*1.2</f>
        <v>690.8</v>
      </c>
      <c r="Z35" s="86" t="n">
        <f aca="false">AND((H35)&gt;=MIN(X35),(H35)&lt;=MAX(Y35))</f>
        <v>1</v>
      </c>
      <c r="AA35" s="86" t="n">
        <f aca="false">AND((K35)&gt;=MIN(X35),(K35)&lt;=MAX(Y35))</f>
        <v>1</v>
      </c>
      <c r="AB35" s="86" t="n">
        <f aca="false">AND((N35)&gt;=MIN(X35),(N35)&lt;=MAX(Y35))</f>
        <v>1</v>
      </c>
      <c r="AC35" s="95"/>
      <c r="AD35" s="88"/>
      <c r="AE35" s="88" t="n">
        <f aca="false">AD35*E35</f>
        <v>0</v>
      </c>
      <c r="AF35" s="95"/>
      <c r="AG35" s="88"/>
      <c r="AH35" s="89" t="n">
        <f aca="false">AG35*E35</f>
        <v>0</v>
      </c>
      <c r="AI35" s="95"/>
      <c r="AJ35" s="88"/>
      <c r="AK35" s="89" t="n">
        <f aca="false">AJ35*E35</f>
        <v>0</v>
      </c>
      <c r="AL35" s="91" t="e">
        <f aca="false">AVERAGE(AD35,AG35,AJ35)</f>
        <v>#DIV/0!</v>
      </c>
      <c r="AM35" s="91" t="e">
        <f aca="false">((F35-AL35)/AL35)*100</f>
        <v>#DIV/0!</v>
      </c>
      <c r="AN35" s="92" t="e">
        <f aca="false">AL35/1.2</f>
        <v>#DIV/0!</v>
      </c>
      <c r="AO35" s="92" t="e">
        <f aca="false">AL35*1.2</f>
        <v>#DIV/0!</v>
      </c>
      <c r="AP35" s="86" t="e">
        <f aca="false">AND((AD35)&gt;=MIN(AN35),(AD35)&lt;=MAX(AO35))</f>
        <v>#DIV/0!</v>
      </c>
      <c r="AQ35" s="86" t="e">
        <f aca="false">AND((AG35)&gt;=MIN(AN35),(AG35)&lt;=MAX(AO35))</f>
        <v>#DIV/0!</v>
      </c>
      <c r="AR35" s="86" t="e">
        <f aca="false">AND((AJ35)&gt;=MIN(AN35),(AJ35)&lt;=MAX(AO35))</f>
        <v>#DIV/0!</v>
      </c>
    </row>
    <row r="36" s="38" customFormat="true" ht="76.5" hidden="false" customHeight="true" outlineLevel="0" collapsed="false">
      <c r="A36" s="28" t="n">
        <v>26</v>
      </c>
      <c r="B36" s="84" t="s">
        <v>730</v>
      </c>
      <c r="C36" s="29" t="s">
        <v>121</v>
      </c>
      <c r="D36" s="30" t="s">
        <v>40</v>
      </c>
      <c r="E36" s="31" t="n">
        <v>5</v>
      </c>
      <c r="F36" s="32" t="n">
        <f aca="false">P36</f>
        <v>202.03</v>
      </c>
      <c r="G36" s="42" t="s">
        <v>122</v>
      </c>
      <c r="H36" s="34" t="n">
        <f aca="false">225.37/1.2*1.05</f>
        <v>197.2</v>
      </c>
      <c r="I36" s="34" t="n">
        <f aca="false">E36*H36</f>
        <v>986</v>
      </c>
      <c r="J36" s="42" t="s">
        <v>123</v>
      </c>
      <c r="K36" s="34" t="n">
        <f aca="false">2123/10/1.2*1.05</f>
        <v>185.76</v>
      </c>
      <c r="L36" s="34" t="n">
        <f aca="false">E36*K36</f>
        <v>928.8</v>
      </c>
      <c r="M36" s="42" t="s">
        <v>124</v>
      </c>
      <c r="N36" s="34" t="n">
        <f aca="false">255/1.2*1.05</f>
        <v>223.13</v>
      </c>
      <c r="O36" s="34" t="n">
        <f aca="false">E36*N36</f>
        <v>1115.65</v>
      </c>
      <c r="P36" s="35" t="n">
        <f aca="false">AVERAGE(H36,K36,N36)</f>
        <v>202.03</v>
      </c>
      <c r="Q36" s="36" t="n">
        <f aca="false">F36*100/P36-100</f>
        <v>0</v>
      </c>
      <c r="R36" s="35" t="n">
        <f aca="false">P36*E36</f>
        <v>1010.15</v>
      </c>
      <c r="S36" s="37"/>
      <c r="U36" s="39" t="n">
        <f aca="false">ROUND(H36*100/P36-100,0)</f>
        <v>-2</v>
      </c>
      <c r="V36" s="39" t="n">
        <f aca="false">ROUND(K36*100/P36-100,0)</f>
        <v>-8</v>
      </c>
      <c r="W36" s="39" t="n">
        <f aca="false">ROUND(N36*100/P36-100,0)</f>
        <v>10</v>
      </c>
      <c r="X36" s="85" t="n">
        <f aca="false">P36/1.2</f>
        <v>168.36</v>
      </c>
      <c r="Y36" s="85" t="n">
        <f aca="false">P36*1.2</f>
        <v>242.44</v>
      </c>
      <c r="Z36" s="86" t="n">
        <f aca="false">AND((H36)&gt;=MIN(X36),(H36)&lt;=MAX(Y36))</f>
        <v>1</v>
      </c>
      <c r="AA36" s="86" t="n">
        <f aca="false">AND((K36)&gt;=MIN(X36),(K36)&lt;=MAX(Y36))</f>
        <v>1</v>
      </c>
      <c r="AB36" s="86" t="n">
        <f aca="false">AND((N36)&gt;=MIN(X36),(N36)&lt;=MAX(Y36))</f>
        <v>1</v>
      </c>
      <c r="AC36" s="95"/>
      <c r="AD36" s="88"/>
      <c r="AE36" s="88" t="n">
        <f aca="false">AD36*E36</f>
        <v>0</v>
      </c>
      <c r="AF36" s="95"/>
      <c r="AG36" s="88"/>
      <c r="AH36" s="89" t="n">
        <f aca="false">AG36*E36</f>
        <v>0</v>
      </c>
      <c r="AI36" s="95"/>
      <c r="AJ36" s="88"/>
      <c r="AK36" s="89" t="n">
        <f aca="false">AJ36*E36</f>
        <v>0</v>
      </c>
      <c r="AL36" s="91" t="e">
        <f aca="false">AVERAGE(AD36,AG36,AJ36)</f>
        <v>#DIV/0!</v>
      </c>
      <c r="AM36" s="91" t="e">
        <f aca="false">((F36-AL36)/AL36)*100</f>
        <v>#DIV/0!</v>
      </c>
      <c r="AN36" s="92" t="e">
        <f aca="false">AL36/1.2</f>
        <v>#DIV/0!</v>
      </c>
      <c r="AO36" s="92" t="e">
        <f aca="false">AL36*1.2</f>
        <v>#DIV/0!</v>
      </c>
      <c r="AP36" s="86" t="e">
        <f aca="false">AND((AD36)&gt;=MIN(AN36),(AD36)&lt;=MAX(AO36))</f>
        <v>#DIV/0!</v>
      </c>
      <c r="AQ36" s="86" t="e">
        <f aca="false">AND((AG36)&gt;=MIN(AN36),(AG36)&lt;=MAX(AO36))</f>
        <v>#DIV/0!</v>
      </c>
      <c r="AR36" s="86" t="e">
        <f aca="false">AND((AJ36)&gt;=MIN(AN36),(AJ36)&lt;=MAX(AO36))</f>
        <v>#DIV/0!</v>
      </c>
    </row>
    <row r="37" s="38" customFormat="true" ht="76.5" hidden="false" customHeight="true" outlineLevel="0" collapsed="false">
      <c r="A37" s="28" t="n">
        <v>27</v>
      </c>
      <c r="B37" s="84" t="s">
        <v>730</v>
      </c>
      <c r="C37" s="29" t="s">
        <v>125</v>
      </c>
      <c r="D37" s="30" t="s">
        <v>40</v>
      </c>
      <c r="E37" s="31" t="n">
        <v>5</v>
      </c>
      <c r="F37" s="32" t="n">
        <f aca="false">P37</f>
        <v>180.13</v>
      </c>
      <c r="G37" s="42" t="s">
        <v>126</v>
      </c>
      <c r="H37" s="34" t="n">
        <f aca="false">173.18/1.2*1.05</f>
        <v>151.53</v>
      </c>
      <c r="I37" s="34" t="n">
        <f aca="false">E37*H37</f>
        <v>757.65</v>
      </c>
      <c r="J37" s="42" t="s">
        <v>127</v>
      </c>
      <c r="K37" s="34" t="n">
        <f aca="false">225.4/1.2*1.05</f>
        <v>197.23</v>
      </c>
      <c r="L37" s="34" t="n">
        <f aca="false">E37*K37</f>
        <v>986.15</v>
      </c>
      <c r="M37" s="42" t="s">
        <v>128</v>
      </c>
      <c r="N37" s="34" t="n">
        <f aca="false">219/1.2*1.05</f>
        <v>191.63</v>
      </c>
      <c r="O37" s="34" t="n">
        <f aca="false">E37*N37</f>
        <v>958.15</v>
      </c>
      <c r="P37" s="35" t="n">
        <f aca="false">AVERAGE(H37,K37,N37)</f>
        <v>180.13</v>
      </c>
      <c r="Q37" s="36" t="n">
        <f aca="false">F37*100/P37-100</f>
        <v>0</v>
      </c>
      <c r="R37" s="35" t="n">
        <f aca="false">P37*E37</f>
        <v>900.65</v>
      </c>
      <c r="S37" s="37"/>
      <c r="U37" s="39" t="n">
        <f aca="false">ROUND(H37*100/P37-100,0)</f>
        <v>-16</v>
      </c>
      <c r="V37" s="39" t="n">
        <f aca="false">ROUND(K37*100/P37-100,0)</f>
        <v>9</v>
      </c>
      <c r="W37" s="39" t="n">
        <f aca="false">ROUND(N37*100/P37-100,0)</f>
        <v>6</v>
      </c>
      <c r="X37" s="85" t="n">
        <f aca="false">P37/1.2</f>
        <v>150.11</v>
      </c>
      <c r="Y37" s="85" t="n">
        <f aca="false">P37*1.2</f>
        <v>216.16</v>
      </c>
      <c r="Z37" s="86" t="n">
        <f aca="false">AND((H37)&gt;=MIN(X37),(H37)&lt;=MAX(Y37))</f>
        <v>1</v>
      </c>
      <c r="AA37" s="86" t="n">
        <f aca="false">AND((K37)&gt;=MIN(X37),(K37)&lt;=MAX(Y37))</f>
        <v>1</v>
      </c>
      <c r="AB37" s="86" t="n">
        <f aca="false">AND((N37)&gt;=MIN(X37),(N37)&lt;=MAX(Y37))</f>
        <v>1</v>
      </c>
      <c r="AC37" s="95"/>
      <c r="AD37" s="88"/>
      <c r="AE37" s="88" t="n">
        <f aca="false">AD37*E37</f>
        <v>0</v>
      </c>
      <c r="AF37" s="95"/>
      <c r="AG37" s="88"/>
      <c r="AH37" s="89" t="n">
        <f aca="false">AG37*E37</f>
        <v>0</v>
      </c>
      <c r="AI37" s="95"/>
      <c r="AJ37" s="88"/>
      <c r="AK37" s="89" t="n">
        <f aca="false">AJ37*E37</f>
        <v>0</v>
      </c>
      <c r="AL37" s="91" t="e">
        <f aca="false">AVERAGE(AD37,AG37,AJ37)</f>
        <v>#DIV/0!</v>
      </c>
      <c r="AM37" s="91" t="e">
        <f aca="false">((F37-AL37)/AL37)*100</f>
        <v>#DIV/0!</v>
      </c>
      <c r="AN37" s="92" t="e">
        <f aca="false">AL37/1.2</f>
        <v>#DIV/0!</v>
      </c>
      <c r="AO37" s="92" t="e">
        <f aca="false">AL37*1.2</f>
        <v>#DIV/0!</v>
      </c>
      <c r="AP37" s="86" t="e">
        <f aca="false">AND((AD37)&gt;=MIN(AN37),(AD37)&lt;=MAX(AO37))</f>
        <v>#DIV/0!</v>
      </c>
      <c r="AQ37" s="86" t="e">
        <f aca="false">AND((AG37)&gt;=MIN(AN37),(AG37)&lt;=MAX(AO37))</f>
        <v>#DIV/0!</v>
      </c>
      <c r="AR37" s="86" t="e">
        <f aca="false">AND((AJ37)&gt;=MIN(AN37),(AJ37)&lt;=MAX(AO37))</f>
        <v>#DIV/0!</v>
      </c>
    </row>
    <row r="38" s="38" customFormat="true" ht="150" hidden="false" customHeight="true" outlineLevel="0" collapsed="false">
      <c r="A38" s="28" t="n">
        <v>28</v>
      </c>
      <c r="B38" s="84" t="s">
        <v>731</v>
      </c>
      <c r="C38" s="29" t="s">
        <v>129</v>
      </c>
      <c r="D38" s="30" t="s">
        <v>40</v>
      </c>
      <c r="E38" s="31" t="n">
        <v>20</v>
      </c>
      <c r="F38" s="32" t="n">
        <f aca="false">P38</f>
        <v>1632.46</v>
      </c>
      <c r="G38" s="87" t="s">
        <v>130</v>
      </c>
      <c r="H38" s="34" t="n">
        <f aca="false">1802/1.2*1.05</f>
        <v>1576.75</v>
      </c>
      <c r="I38" s="34" t="n">
        <f aca="false">E38*H38</f>
        <v>31535</v>
      </c>
      <c r="J38" s="33" t="s">
        <v>131</v>
      </c>
      <c r="K38" s="34" t="n">
        <f aca="false">1950/1.2*1.05</f>
        <v>1706.25</v>
      </c>
      <c r="L38" s="34" t="n">
        <f aca="false">E38*K38</f>
        <v>34125</v>
      </c>
      <c r="M38" s="33" t="s">
        <v>132</v>
      </c>
      <c r="N38" s="34" t="n">
        <f aca="false">1845/1.2*1.05</f>
        <v>1614.38</v>
      </c>
      <c r="O38" s="34" t="n">
        <f aca="false">E38*N38</f>
        <v>32287.6</v>
      </c>
      <c r="P38" s="35" t="n">
        <f aca="false">AVERAGE(H38,K38,N38)</f>
        <v>1632.46</v>
      </c>
      <c r="Q38" s="36" t="n">
        <f aca="false">F38*100/P38-100</f>
        <v>0</v>
      </c>
      <c r="R38" s="35" t="n">
        <f aca="false">P38*E38</f>
        <v>32649.2</v>
      </c>
      <c r="S38" s="37"/>
      <c r="U38" s="39" t="n">
        <f aca="false">ROUND(H38*100/P38-100,0)</f>
        <v>-3</v>
      </c>
      <c r="V38" s="39" t="n">
        <f aca="false">ROUND(K38*100/P38-100,0)</f>
        <v>5</v>
      </c>
      <c r="W38" s="39" t="n">
        <f aca="false">ROUND(N38*100/P38-100,0)</f>
        <v>-1</v>
      </c>
      <c r="X38" s="85" t="n">
        <f aca="false">P38/1.2</f>
        <v>1360.38</v>
      </c>
      <c r="Y38" s="85" t="n">
        <f aca="false">P38*1.2</f>
        <v>1958.95</v>
      </c>
      <c r="Z38" s="86" t="n">
        <f aca="false">AND((H38)&gt;=MIN(X38),(H38)&lt;=MAX(Y38))</f>
        <v>1</v>
      </c>
      <c r="AA38" s="86" t="n">
        <f aca="false">AND((K38)&gt;=MIN(X38),(K38)&lt;=MAX(Y38))</f>
        <v>1</v>
      </c>
      <c r="AB38" s="86" t="n">
        <f aca="false">AND((N38)&gt;=MIN(X38),(N38)&lt;=MAX(Y38))</f>
        <v>1</v>
      </c>
      <c r="AC38" s="95"/>
      <c r="AD38" s="88"/>
      <c r="AE38" s="88" t="n">
        <f aca="false">AD38*E38</f>
        <v>0</v>
      </c>
      <c r="AF38" s="95"/>
      <c r="AG38" s="88"/>
      <c r="AH38" s="89" t="n">
        <f aca="false">AG38*E38</f>
        <v>0</v>
      </c>
      <c r="AI38" s="95"/>
      <c r="AJ38" s="88"/>
      <c r="AK38" s="89" t="n">
        <f aca="false">AJ38*E38</f>
        <v>0</v>
      </c>
      <c r="AL38" s="91" t="e">
        <f aca="false">AVERAGE(AD38,AG38,AJ38)</f>
        <v>#DIV/0!</v>
      </c>
      <c r="AM38" s="91" t="e">
        <f aca="false">((F38-AL38)/AL38)*100</f>
        <v>#DIV/0!</v>
      </c>
      <c r="AN38" s="92" t="e">
        <f aca="false">AL38/1.2</f>
        <v>#DIV/0!</v>
      </c>
      <c r="AO38" s="92" t="e">
        <f aca="false">AL38*1.2</f>
        <v>#DIV/0!</v>
      </c>
      <c r="AP38" s="86" t="e">
        <f aca="false">AND((AD38)&gt;=MIN(AN38),(AD38)&lt;=MAX(AO38))</f>
        <v>#DIV/0!</v>
      </c>
      <c r="AQ38" s="86" t="e">
        <f aca="false">AND((AG38)&gt;=MIN(AN38),(AG38)&lt;=MAX(AO38))</f>
        <v>#DIV/0!</v>
      </c>
      <c r="AR38" s="86" t="e">
        <f aca="false">AND((AJ38)&gt;=MIN(AN38),(AJ38)&lt;=MAX(AO38))</f>
        <v>#DIV/0!</v>
      </c>
    </row>
    <row r="39" s="38" customFormat="true" ht="89.25" hidden="false" customHeight="true" outlineLevel="0" collapsed="false">
      <c r="A39" s="28" t="n">
        <v>29</v>
      </c>
      <c r="B39" s="84" t="s">
        <v>732</v>
      </c>
      <c r="C39" s="29" t="s">
        <v>133</v>
      </c>
      <c r="D39" s="30" t="s">
        <v>40</v>
      </c>
      <c r="E39" s="31" t="n">
        <v>20</v>
      </c>
      <c r="F39" s="32" t="n">
        <f aca="false">P39</f>
        <v>697.96</v>
      </c>
      <c r="G39" s="42" t="s">
        <v>134</v>
      </c>
      <c r="H39" s="34" t="n">
        <f aca="false">900/1.2*1.05</f>
        <v>787.5</v>
      </c>
      <c r="I39" s="34" t="n">
        <f aca="false">E39*H39</f>
        <v>15750</v>
      </c>
      <c r="J39" s="42" t="s">
        <v>135</v>
      </c>
      <c r="K39" s="34" t="n">
        <f aca="false">701/1.2*1.05</f>
        <v>613.38</v>
      </c>
      <c r="L39" s="34" t="n">
        <f aca="false">E39*K39</f>
        <v>12267.6</v>
      </c>
      <c r="M39" s="42" t="s">
        <v>136</v>
      </c>
      <c r="N39" s="34" t="n">
        <f aca="false">792/1.2*1.05</f>
        <v>693</v>
      </c>
      <c r="O39" s="34" t="n">
        <f aca="false">E39*N39</f>
        <v>13860</v>
      </c>
      <c r="P39" s="35" t="n">
        <f aca="false">AVERAGE(H39,K39,N39)</f>
        <v>697.96</v>
      </c>
      <c r="Q39" s="36" t="n">
        <f aca="false">F39*100/P39-100</f>
        <v>0</v>
      </c>
      <c r="R39" s="35" t="n">
        <f aca="false">P39*E39</f>
        <v>13959.2</v>
      </c>
      <c r="S39" s="37"/>
      <c r="U39" s="39" t="n">
        <f aca="false">ROUND(H39*100/P39-100,0)</f>
        <v>13</v>
      </c>
      <c r="V39" s="39" t="n">
        <f aca="false">ROUND(K39*100/P39-100,0)</f>
        <v>-12</v>
      </c>
      <c r="W39" s="39" t="n">
        <f aca="false">ROUND(N39*100/P39-100,0)</f>
        <v>-1</v>
      </c>
      <c r="X39" s="85" t="n">
        <f aca="false">P39/1.2</f>
        <v>581.63</v>
      </c>
      <c r="Y39" s="85" t="n">
        <f aca="false">P39*1.2</f>
        <v>837.55</v>
      </c>
      <c r="Z39" s="86" t="n">
        <f aca="false">AND((H39)&gt;=MIN(X39),(H39)&lt;=MAX(Y39))</f>
        <v>1</v>
      </c>
      <c r="AA39" s="86" t="n">
        <f aca="false">AND((K39)&gt;=MIN(X39),(K39)&lt;=MAX(Y39))</f>
        <v>1</v>
      </c>
      <c r="AB39" s="86" t="n">
        <f aca="false">AND((N39)&gt;=MIN(X39),(N39)&lt;=MAX(Y39))</f>
        <v>1</v>
      </c>
      <c r="AC39" s="95"/>
      <c r="AD39" s="88"/>
      <c r="AE39" s="88" t="n">
        <f aca="false">AD39*E39</f>
        <v>0</v>
      </c>
      <c r="AF39" s="95"/>
      <c r="AG39" s="88"/>
      <c r="AH39" s="89" t="n">
        <f aca="false">AG39*E39</f>
        <v>0</v>
      </c>
      <c r="AI39" s="95"/>
      <c r="AJ39" s="88"/>
      <c r="AK39" s="89" t="n">
        <f aca="false">AJ39*E39</f>
        <v>0</v>
      </c>
      <c r="AL39" s="91" t="e">
        <f aca="false">AVERAGE(AD39,AG39,AJ39)</f>
        <v>#DIV/0!</v>
      </c>
      <c r="AM39" s="91" t="e">
        <f aca="false">((F39-AL39)/AL39)*100</f>
        <v>#DIV/0!</v>
      </c>
      <c r="AN39" s="92" t="e">
        <f aca="false">AL39/1.2</f>
        <v>#DIV/0!</v>
      </c>
      <c r="AO39" s="92" t="e">
        <f aca="false">AL39*1.2</f>
        <v>#DIV/0!</v>
      </c>
      <c r="AP39" s="86" t="e">
        <f aca="false">AND((AD39)&gt;=MIN(AN39),(AD39)&lt;=MAX(AO39))</f>
        <v>#DIV/0!</v>
      </c>
      <c r="AQ39" s="86" t="e">
        <f aca="false">AND((AG39)&gt;=MIN(AN39),(AG39)&lt;=MAX(AO39))</f>
        <v>#DIV/0!</v>
      </c>
      <c r="AR39" s="86" t="e">
        <f aca="false">AND((AJ39)&gt;=MIN(AN39),(AJ39)&lt;=MAX(AO39))</f>
        <v>#DIV/0!</v>
      </c>
    </row>
    <row r="40" s="38" customFormat="true" ht="105" hidden="false" customHeight="true" outlineLevel="0" collapsed="false">
      <c r="A40" s="28" t="n">
        <v>30</v>
      </c>
      <c r="B40" s="99"/>
      <c r="C40" s="29" t="s">
        <v>137</v>
      </c>
      <c r="D40" s="30" t="s">
        <v>27</v>
      </c>
      <c r="E40" s="31" t="n">
        <v>25.5</v>
      </c>
      <c r="F40" s="32" t="n">
        <f aca="false">P40</f>
        <v>393.75</v>
      </c>
      <c r="G40" s="33" t="s">
        <v>138</v>
      </c>
      <c r="H40" s="34" t="n">
        <f aca="false">450/1.2*1.05</f>
        <v>393.75</v>
      </c>
      <c r="I40" s="34" t="n">
        <f aca="false">E40*H40</f>
        <v>10040.63</v>
      </c>
      <c r="J40" s="33" t="s">
        <v>139</v>
      </c>
      <c r="K40" s="34" t="n">
        <f aca="false">450/1.2*1.05</f>
        <v>393.75</v>
      </c>
      <c r="L40" s="34" t="n">
        <f aca="false">E40*K40</f>
        <v>10040.63</v>
      </c>
      <c r="M40" s="33" t="s">
        <v>140</v>
      </c>
      <c r="N40" s="34" t="n">
        <f aca="false">450/1.2*1.05</f>
        <v>393.75</v>
      </c>
      <c r="O40" s="34" t="n">
        <f aca="false">E40*N40</f>
        <v>10040.63</v>
      </c>
      <c r="P40" s="35" t="n">
        <f aca="false">AVERAGE(H40,K40,N40)</f>
        <v>393.75</v>
      </c>
      <c r="Q40" s="36" t="n">
        <f aca="false">F40*100/P40-100</f>
        <v>0</v>
      </c>
      <c r="R40" s="35" t="n">
        <f aca="false">P40*E40</f>
        <v>10040.63</v>
      </c>
      <c r="S40" s="37"/>
      <c r="U40" s="39" t="n">
        <f aca="false">ROUND(H40*100/P40-100,0)</f>
        <v>0</v>
      </c>
      <c r="V40" s="39" t="n">
        <f aca="false">ROUND(K40*100/P40-100,0)</f>
        <v>0</v>
      </c>
      <c r="W40" s="39" t="n">
        <f aca="false">ROUND(N40*100/P40-100,0)</f>
        <v>0</v>
      </c>
      <c r="X40" s="85" t="n">
        <f aca="false">P40/1.2</f>
        <v>328.13</v>
      </c>
      <c r="Y40" s="85" t="n">
        <f aca="false">P40*1.2</f>
        <v>472.5</v>
      </c>
      <c r="Z40" s="86" t="n">
        <f aca="false">AND((H40)&gt;=MIN(X40),(H40)&lt;=MAX(Y40))</f>
        <v>1</v>
      </c>
      <c r="AA40" s="86" t="n">
        <f aca="false">AND((K40)&gt;=MIN(X40),(K40)&lt;=MAX(Y40))</f>
        <v>1</v>
      </c>
      <c r="AB40" s="86" t="n">
        <f aca="false">AND((N40)&gt;=MIN(X40),(N40)&lt;=MAX(Y40))</f>
        <v>1</v>
      </c>
      <c r="AC40" s="95" t="s">
        <v>139</v>
      </c>
      <c r="AD40" s="88" t="n">
        <f aca="false">450/1.2*1.05</f>
        <v>393.75</v>
      </c>
      <c r="AE40" s="88" t="n">
        <f aca="false">AD40*E40</f>
        <v>10040.63</v>
      </c>
      <c r="AF40" s="95" t="s">
        <v>138</v>
      </c>
      <c r="AG40" s="88" t="n">
        <f aca="false">450/1.2*1.05</f>
        <v>393.75</v>
      </c>
      <c r="AH40" s="89" t="n">
        <f aca="false">AG40*E40</f>
        <v>10040.63</v>
      </c>
      <c r="AI40" s="95" t="s">
        <v>140</v>
      </c>
      <c r="AJ40" s="88" t="n">
        <f aca="false">450/1.2*1.05</f>
        <v>393.75</v>
      </c>
      <c r="AK40" s="89" t="n">
        <f aca="false">AJ40*E40</f>
        <v>10040.63</v>
      </c>
      <c r="AL40" s="91" t="n">
        <f aca="false">AVERAGE(AD40,AG40,AJ40)</f>
        <v>393.75</v>
      </c>
      <c r="AM40" s="91" t="n">
        <f aca="false">((F40-AL40)/AL40)*100</f>
        <v>0</v>
      </c>
      <c r="AN40" s="92" t="n">
        <f aca="false">AL40/1.2</f>
        <v>328.13</v>
      </c>
      <c r="AO40" s="92" t="n">
        <f aca="false">AL40*1.2</f>
        <v>472.5</v>
      </c>
      <c r="AP40" s="86" t="n">
        <f aca="false">AND((AD40)&gt;=MIN(AN40),(AD40)&lt;=MAX(AO40))</f>
        <v>1</v>
      </c>
      <c r="AQ40" s="86" t="n">
        <f aca="false">AND((AG40)&gt;=MIN(AN40),(AG40)&lt;=MAX(AO40))</f>
        <v>1</v>
      </c>
      <c r="AR40" s="86" t="n">
        <f aca="false">AND((AJ40)&gt;=MIN(AN40),(AJ40)&lt;=MAX(AO40))</f>
        <v>1</v>
      </c>
    </row>
    <row r="41" s="38" customFormat="true" ht="105" hidden="false" customHeight="true" outlineLevel="0" collapsed="false">
      <c r="A41" s="28" t="n">
        <v>31</v>
      </c>
      <c r="B41" s="99"/>
      <c r="C41" s="29" t="s">
        <v>141</v>
      </c>
      <c r="D41" s="30" t="s">
        <v>27</v>
      </c>
      <c r="E41" s="31" t="n">
        <v>3774.5</v>
      </c>
      <c r="F41" s="32" t="n">
        <f aca="false">P41</f>
        <v>393.75</v>
      </c>
      <c r="G41" s="33" t="s">
        <v>138</v>
      </c>
      <c r="H41" s="34" t="n">
        <f aca="false">450/1.2*1.05</f>
        <v>393.75</v>
      </c>
      <c r="I41" s="34" t="n">
        <f aca="false">E41*H41</f>
        <v>1486209.38</v>
      </c>
      <c r="J41" s="33" t="s">
        <v>139</v>
      </c>
      <c r="K41" s="34" t="n">
        <f aca="false">450/1.2*1.05</f>
        <v>393.75</v>
      </c>
      <c r="L41" s="34" t="n">
        <f aca="false">E41*K41</f>
        <v>1486209.38</v>
      </c>
      <c r="M41" s="33" t="s">
        <v>140</v>
      </c>
      <c r="N41" s="34" t="n">
        <f aca="false">450/1.2*1.05</f>
        <v>393.75</v>
      </c>
      <c r="O41" s="34" t="n">
        <f aca="false">E41*N41</f>
        <v>1486209.38</v>
      </c>
      <c r="P41" s="35" t="n">
        <f aca="false">AVERAGE(H41,K41,N41)</f>
        <v>393.75</v>
      </c>
      <c r="Q41" s="36" t="n">
        <f aca="false">F41*100/P41-100</f>
        <v>0</v>
      </c>
      <c r="R41" s="35" t="n">
        <f aca="false">P41*E41</f>
        <v>1486209.38</v>
      </c>
      <c r="S41" s="37"/>
      <c r="U41" s="39" t="n">
        <f aca="false">ROUND(H41*100/P41-100,0)</f>
        <v>0</v>
      </c>
      <c r="V41" s="39" t="n">
        <f aca="false">ROUND(K41*100/P41-100,0)</f>
        <v>0</v>
      </c>
      <c r="W41" s="39" t="n">
        <f aca="false">ROUND(N41*100/P41-100,0)</f>
        <v>0</v>
      </c>
      <c r="X41" s="85" t="n">
        <f aca="false">P41/1.2</f>
        <v>328.13</v>
      </c>
      <c r="Y41" s="85" t="n">
        <f aca="false">P41*1.2</f>
        <v>472.5</v>
      </c>
      <c r="Z41" s="86" t="n">
        <f aca="false">AND((H41)&gt;=MIN(X41),(H41)&lt;=MAX(Y41))</f>
        <v>1</v>
      </c>
      <c r="AA41" s="86" t="n">
        <f aca="false">AND((K41)&gt;=MIN(X41),(K41)&lt;=MAX(Y41))</f>
        <v>1</v>
      </c>
      <c r="AB41" s="86" t="n">
        <f aca="false">AND((N41)&gt;=MIN(X41),(N41)&lt;=MAX(Y41))</f>
        <v>1</v>
      </c>
      <c r="AC41" s="95" t="s">
        <v>139</v>
      </c>
      <c r="AD41" s="88" t="n">
        <f aca="false">450/1.2*1.05</f>
        <v>393.75</v>
      </c>
      <c r="AE41" s="88" t="n">
        <f aca="false">AD41*E41</f>
        <v>1486209.38</v>
      </c>
      <c r="AF41" s="95" t="s">
        <v>733</v>
      </c>
      <c r="AG41" s="88" t="n">
        <f aca="false">450/1.2*1.05</f>
        <v>393.75</v>
      </c>
      <c r="AH41" s="89" t="n">
        <f aca="false">AG41*E41</f>
        <v>1486209.38</v>
      </c>
      <c r="AI41" s="95" t="s">
        <v>734</v>
      </c>
      <c r="AJ41" s="88" t="n">
        <f aca="false">450/1.2*1.05</f>
        <v>393.75</v>
      </c>
      <c r="AK41" s="89" t="n">
        <f aca="false">AJ41*E41</f>
        <v>1486209.38</v>
      </c>
      <c r="AL41" s="91" t="n">
        <f aca="false">AVERAGE(AD41,AG41,AJ41)</f>
        <v>393.75</v>
      </c>
      <c r="AM41" s="91" t="n">
        <f aca="false">((F41-AL41)/AL41)*100</f>
        <v>0</v>
      </c>
      <c r="AN41" s="92" t="n">
        <f aca="false">AL41/1.2</f>
        <v>328.13</v>
      </c>
      <c r="AO41" s="92" t="n">
        <f aca="false">AL41*1.2</f>
        <v>472.5</v>
      </c>
      <c r="AP41" s="86" t="n">
        <f aca="false">AND((AD41)&gt;=MIN(AN41),(AD41)&lt;=MAX(AO41))</f>
        <v>1</v>
      </c>
      <c r="AQ41" s="86" t="n">
        <f aca="false">AND((AG41)&gt;=MIN(AN41),(AG41)&lt;=MAX(AO41))</f>
        <v>1</v>
      </c>
      <c r="AR41" s="86" t="n">
        <f aca="false">AND((AJ41)&gt;=MIN(AN41),(AJ41)&lt;=MAX(AO41))</f>
        <v>1</v>
      </c>
    </row>
    <row r="42" s="38" customFormat="true" ht="72" hidden="false" customHeight="true" outlineLevel="0" collapsed="false">
      <c r="A42" s="28" t="n">
        <v>32</v>
      </c>
      <c r="B42" s="99"/>
      <c r="C42" s="43" t="s">
        <v>142</v>
      </c>
      <c r="D42" s="44" t="s">
        <v>143</v>
      </c>
      <c r="E42" s="45" t="n">
        <v>5</v>
      </c>
      <c r="F42" s="32" t="n">
        <f aca="false">P42</f>
        <v>1596.88</v>
      </c>
      <c r="G42" s="40" t="s">
        <v>144</v>
      </c>
      <c r="H42" s="34" t="n">
        <f aca="false">1917/1.2*1.05</f>
        <v>1677.38</v>
      </c>
      <c r="I42" s="34" t="n">
        <f aca="false">E42*H42</f>
        <v>8386.9</v>
      </c>
      <c r="J42" s="95" t="s">
        <v>145</v>
      </c>
      <c r="K42" s="34" t="n">
        <f aca="false">1780/1.2*1.05</f>
        <v>1557.5</v>
      </c>
      <c r="L42" s="34" t="n">
        <f aca="false">E42*K42</f>
        <v>7787.5</v>
      </c>
      <c r="M42" s="40" t="s">
        <v>146</v>
      </c>
      <c r="N42" s="34" t="n">
        <f aca="false">1778/1.2*1.05</f>
        <v>1555.75</v>
      </c>
      <c r="O42" s="34" t="n">
        <f aca="false">E42*N42</f>
        <v>7778.75</v>
      </c>
      <c r="P42" s="35" t="n">
        <f aca="false">AVERAGE(H42,K42,N42)</f>
        <v>1596.88</v>
      </c>
      <c r="Q42" s="36" t="n">
        <f aca="false">F42*100/P42-100</f>
        <v>0</v>
      </c>
      <c r="R42" s="35" t="n">
        <f aca="false">P42*E42</f>
        <v>7984.4</v>
      </c>
      <c r="S42" s="37"/>
      <c r="U42" s="39" t="n">
        <f aca="false">ROUND(H42*100/P42-100,0)</f>
        <v>5</v>
      </c>
      <c r="V42" s="39" t="n">
        <f aca="false">ROUND(K42*100/P42-100,0)</f>
        <v>-2</v>
      </c>
      <c r="W42" s="39" t="n">
        <f aca="false">ROUND(N42*100/P42-100,0)</f>
        <v>-3</v>
      </c>
      <c r="X42" s="85" t="n">
        <f aca="false">P42/1.2</f>
        <v>1330.73</v>
      </c>
      <c r="Y42" s="85" t="n">
        <f aca="false">P42*1.2</f>
        <v>1916.26</v>
      </c>
      <c r="Z42" s="86" t="n">
        <f aca="false">AND((H42)&gt;=MIN(X42),(H42)&lt;=MAX(Y42))</f>
        <v>1</v>
      </c>
      <c r="AA42" s="86" t="n">
        <f aca="false">AND((K42)&gt;=MIN(X42),(K42)&lt;=MAX(Y42))</f>
        <v>1</v>
      </c>
      <c r="AB42" s="86" t="n">
        <f aca="false">AND((N42)&gt;=MIN(X42),(N42)&lt;=MAX(Y42))</f>
        <v>1</v>
      </c>
      <c r="AC42" s="95" t="s">
        <v>735</v>
      </c>
      <c r="AD42" s="88" t="n">
        <f aca="false">740/1.2*1.05</f>
        <v>647.5</v>
      </c>
      <c r="AE42" s="88" t="n">
        <f aca="false">AD42*E42</f>
        <v>3237.5</v>
      </c>
      <c r="AF42" s="95" t="s">
        <v>736</v>
      </c>
      <c r="AG42" s="88" t="n">
        <f aca="false">790/1.2*1.05</f>
        <v>691.25</v>
      </c>
      <c r="AH42" s="89" t="n">
        <f aca="false">AG42*E42</f>
        <v>3456.25</v>
      </c>
      <c r="AI42" s="95" t="s">
        <v>737</v>
      </c>
      <c r="AJ42" s="88" t="n">
        <f aca="false">795/1.2*1.05</f>
        <v>695.63</v>
      </c>
      <c r="AK42" s="89" t="n">
        <f aca="false">AJ42*E42</f>
        <v>3478.15</v>
      </c>
      <c r="AL42" s="91" t="n">
        <f aca="false">AVERAGE(AD42,AG42,AJ42)</f>
        <v>678.13</v>
      </c>
      <c r="AM42" s="91" t="n">
        <f aca="false">((F42-AL42)/AL42)*100</f>
        <v>135.48</v>
      </c>
      <c r="AN42" s="92" t="n">
        <f aca="false">AL42/1.2</f>
        <v>565.11</v>
      </c>
      <c r="AO42" s="92" t="n">
        <f aca="false">AL42*1.2</f>
        <v>813.76</v>
      </c>
      <c r="AP42" s="86" t="n">
        <f aca="false">AND((AD42)&gt;=MIN(AN42),(AD42)&lt;=MAX(AO42))</f>
        <v>1</v>
      </c>
      <c r="AQ42" s="86" t="n">
        <f aca="false">AND((AG42)&gt;=MIN(AN42),(AG42)&lt;=MAX(AO42))</f>
        <v>1</v>
      </c>
      <c r="AR42" s="86" t="n">
        <f aca="false">AND((AJ42)&gt;=MIN(AN42),(AJ42)&lt;=MAX(AO42))</f>
        <v>1</v>
      </c>
    </row>
    <row r="43" s="38" customFormat="true" ht="150" hidden="false" customHeight="true" outlineLevel="0" collapsed="false">
      <c r="A43" s="28" t="n">
        <v>33</v>
      </c>
      <c r="B43" s="99"/>
      <c r="C43" s="43" t="s">
        <v>147</v>
      </c>
      <c r="D43" s="44" t="s">
        <v>143</v>
      </c>
      <c r="E43" s="45" t="n">
        <v>4</v>
      </c>
      <c r="F43" s="32" t="n">
        <f aca="false">P43</f>
        <v>568.17</v>
      </c>
      <c r="G43" s="40" t="s">
        <v>148</v>
      </c>
      <c r="H43" s="34" t="n">
        <f aca="false">641/1.2*1.05</f>
        <v>560.88</v>
      </c>
      <c r="I43" s="34" t="n">
        <f aca="false">E43*H43</f>
        <v>2243.52</v>
      </c>
      <c r="J43" s="40" t="s">
        <v>149</v>
      </c>
      <c r="K43" s="34" t="n">
        <f aca="false">679/1.2*1.05</f>
        <v>594.13</v>
      </c>
      <c r="L43" s="34" t="n">
        <f aca="false">E43*K43</f>
        <v>2376.52</v>
      </c>
      <c r="M43" s="40" t="s">
        <v>150</v>
      </c>
      <c r="N43" s="34" t="n">
        <f aca="false">628/1.2*1.05</f>
        <v>549.5</v>
      </c>
      <c r="O43" s="34" t="n">
        <f aca="false">E43*N43</f>
        <v>2198</v>
      </c>
      <c r="P43" s="35" t="n">
        <f aca="false">AVERAGE(H43,K43,N43)</f>
        <v>568.17</v>
      </c>
      <c r="Q43" s="36" t="n">
        <f aca="false">F43*100/P43-100</f>
        <v>0</v>
      </c>
      <c r="R43" s="35" t="n">
        <f aca="false">P43*E43</f>
        <v>2272.68</v>
      </c>
      <c r="S43" s="37"/>
      <c r="U43" s="39" t="n">
        <f aca="false">ROUND(H43*100/P43-100,0)</f>
        <v>-1</v>
      </c>
      <c r="V43" s="39" t="n">
        <f aca="false">ROUND(K43*100/P43-100,0)</f>
        <v>5</v>
      </c>
      <c r="W43" s="39" t="n">
        <f aca="false">ROUND(N43*100/P43-100,0)</f>
        <v>-3</v>
      </c>
      <c r="X43" s="85" t="n">
        <f aca="false">P43/1.2</f>
        <v>473.48</v>
      </c>
      <c r="Y43" s="85" t="n">
        <f aca="false">P43*1.2</f>
        <v>681.8</v>
      </c>
      <c r="Z43" s="86" t="n">
        <f aca="false">AND((H43)&gt;=MIN(X43),(H43)&lt;=MAX(Y43))</f>
        <v>1</v>
      </c>
      <c r="AA43" s="86" t="n">
        <f aca="false">AND((K43)&gt;=MIN(X43),(K43)&lt;=MAX(Y43))</f>
        <v>1</v>
      </c>
      <c r="AB43" s="86" t="n">
        <f aca="false">AND((N43)&gt;=MIN(X43),(N43)&lt;=MAX(Y43))</f>
        <v>1</v>
      </c>
      <c r="AC43" s="95" t="s">
        <v>738</v>
      </c>
      <c r="AD43" s="88" t="n">
        <f aca="false">625/1.2*1.05</f>
        <v>546.88</v>
      </c>
      <c r="AE43" s="88" t="n">
        <f aca="false">AD43*E43</f>
        <v>2187.52</v>
      </c>
      <c r="AF43" s="95" t="s">
        <v>739</v>
      </c>
      <c r="AG43" s="88" t="n">
        <f aca="false">687/1.2*1.05</f>
        <v>601.13</v>
      </c>
      <c r="AH43" s="89" t="n">
        <f aca="false">AG43*E43</f>
        <v>2404.52</v>
      </c>
      <c r="AI43" s="95" t="s">
        <v>740</v>
      </c>
      <c r="AJ43" s="88" t="n">
        <f aca="false">679/1.2*1.05</f>
        <v>594.13</v>
      </c>
      <c r="AK43" s="89" t="n">
        <f aca="false">AJ43*E43</f>
        <v>2376.52</v>
      </c>
      <c r="AL43" s="91" t="n">
        <f aca="false">AVERAGE(AD43,AG43,AJ43)</f>
        <v>580.71</v>
      </c>
      <c r="AM43" s="91" t="n">
        <f aca="false">((F43-AL43)/AL43)*100</f>
        <v>-2.16</v>
      </c>
      <c r="AN43" s="92" t="n">
        <f aca="false">AL43/1.2</f>
        <v>483.93</v>
      </c>
      <c r="AO43" s="92" t="n">
        <f aca="false">AL43*1.2</f>
        <v>696.85</v>
      </c>
      <c r="AP43" s="86" t="n">
        <f aca="false">AND((AD43)&gt;=MIN(AN43),(AD43)&lt;=MAX(AO43))</f>
        <v>1</v>
      </c>
      <c r="AQ43" s="86" t="n">
        <f aca="false">AND((AG43)&gt;=MIN(AN43),(AG43)&lt;=MAX(AO43))</f>
        <v>1</v>
      </c>
      <c r="AR43" s="86" t="n">
        <f aca="false">AND((AJ43)&gt;=MIN(AN43),(AJ43)&lt;=MAX(AO43))</f>
        <v>1</v>
      </c>
    </row>
    <row r="44" s="38" customFormat="true" ht="135" hidden="false" customHeight="true" outlineLevel="0" collapsed="false">
      <c r="A44" s="28" t="n">
        <v>34</v>
      </c>
      <c r="B44" s="99"/>
      <c r="C44" s="43" t="s">
        <v>151</v>
      </c>
      <c r="D44" s="44" t="s">
        <v>143</v>
      </c>
      <c r="E44" s="45" t="n">
        <v>1</v>
      </c>
      <c r="F44" s="32" t="n">
        <f aca="false">P44</f>
        <v>685.42</v>
      </c>
      <c r="G44" s="40" t="s">
        <v>152</v>
      </c>
      <c r="H44" s="34" t="n">
        <f aca="false">740/1.2*1.05</f>
        <v>647.5</v>
      </c>
      <c r="I44" s="34" t="n">
        <f aca="false">E44*H44</f>
        <v>647.5</v>
      </c>
      <c r="J44" s="49" t="s">
        <v>153</v>
      </c>
      <c r="K44" s="34" t="n">
        <f aca="false">740/1.2*1.05</f>
        <v>647.5</v>
      </c>
      <c r="L44" s="34" t="n">
        <f aca="false">E44*K44</f>
        <v>647.5</v>
      </c>
      <c r="M44" s="49" t="s">
        <v>154</v>
      </c>
      <c r="N44" s="34" t="n">
        <f aca="false">870/1.2*1.05</f>
        <v>761.25</v>
      </c>
      <c r="O44" s="34" t="n">
        <f aca="false">E44*N44</f>
        <v>761.25</v>
      </c>
      <c r="P44" s="35" t="n">
        <f aca="false">AVERAGE(H44,K44,N44)</f>
        <v>685.42</v>
      </c>
      <c r="Q44" s="36" t="n">
        <f aca="false">F44*100/P44-100</f>
        <v>0</v>
      </c>
      <c r="R44" s="35" t="n">
        <f aca="false">P44*E44</f>
        <v>685.42</v>
      </c>
      <c r="S44" s="37"/>
      <c r="U44" s="39" t="n">
        <f aca="false">ROUND(H44*100/P44-100,0)</f>
        <v>-6</v>
      </c>
      <c r="V44" s="39" t="n">
        <f aca="false">ROUND(K44*100/P44-100,0)</f>
        <v>-6</v>
      </c>
      <c r="W44" s="39" t="n">
        <f aca="false">ROUND(N44*100/P44-100,0)</f>
        <v>11</v>
      </c>
      <c r="X44" s="85" t="n">
        <f aca="false">P44/1.2</f>
        <v>571.18</v>
      </c>
      <c r="Y44" s="85" t="n">
        <f aca="false">P44*1.2</f>
        <v>822.5</v>
      </c>
      <c r="Z44" s="86" t="n">
        <f aca="false">AND((H44)&gt;=MIN(X44),(H44)&lt;=MAX(Y44))</f>
        <v>1</v>
      </c>
      <c r="AA44" s="86" t="n">
        <f aca="false">AND((K44)&gt;=MIN(X44),(K44)&lt;=MAX(Y44))</f>
        <v>1</v>
      </c>
      <c r="AB44" s="86" t="n">
        <f aca="false">AND((N44)&gt;=MIN(X44),(N44)&lt;=MAX(Y44))</f>
        <v>1</v>
      </c>
      <c r="AC44" s="95" t="s">
        <v>741</v>
      </c>
      <c r="AD44" s="88" t="n">
        <f aca="false">985/1.2*1.05</f>
        <v>861.88</v>
      </c>
      <c r="AE44" s="88" t="n">
        <f aca="false">AD44*E44</f>
        <v>861.88</v>
      </c>
      <c r="AF44" s="49" t="s">
        <v>153</v>
      </c>
      <c r="AG44" s="88" t="n">
        <f aca="false">740/1.2*1.05</f>
        <v>647.5</v>
      </c>
      <c r="AH44" s="89" t="n">
        <f aca="false">AG44*E44</f>
        <v>647.5</v>
      </c>
      <c r="AI44" s="95" t="s">
        <v>742</v>
      </c>
      <c r="AJ44" s="88" t="n">
        <f aca="false">740/1.2*1.2</f>
        <v>740</v>
      </c>
      <c r="AK44" s="89" t="n">
        <f aca="false">AJ44*E44</f>
        <v>740</v>
      </c>
      <c r="AL44" s="91" t="n">
        <f aca="false">AVERAGE(AD44,AG44,AJ44)</f>
        <v>749.79</v>
      </c>
      <c r="AM44" s="91" t="n">
        <f aca="false">((F44-AL44)/AL44)*100</f>
        <v>-8.59</v>
      </c>
      <c r="AN44" s="92" t="n">
        <f aca="false">AL44/1.2</f>
        <v>624.83</v>
      </c>
      <c r="AO44" s="92" t="n">
        <f aca="false">AL44*1.2</f>
        <v>899.75</v>
      </c>
      <c r="AP44" s="86" t="n">
        <f aca="false">AND((AD44)&gt;=MIN(AN44),(AD44)&lt;=MAX(AO44))</f>
        <v>1</v>
      </c>
      <c r="AQ44" s="86" t="n">
        <f aca="false">AND((AG44)&gt;=MIN(AN44),(AG44)&lt;=MAX(AO44))</f>
        <v>1</v>
      </c>
      <c r="AR44" s="86" t="n">
        <f aca="false">AND((AJ44)&gt;=MIN(AN44),(AJ44)&lt;=MAX(AO44))</f>
        <v>1</v>
      </c>
    </row>
    <row r="45" s="38" customFormat="true" ht="76.5" hidden="false" customHeight="true" outlineLevel="0" collapsed="false">
      <c r="A45" s="28" t="n">
        <v>35</v>
      </c>
      <c r="B45" s="99" t="s">
        <v>743</v>
      </c>
      <c r="C45" s="43" t="s">
        <v>155</v>
      </c>
      <c r="D45" s="44" t="s">
        <v>143</v>
      </c>
      <c r="E45" s="45" t="n">
        <v>3</v>
      </c>
      <c r="F45" s="32" t="n">
        <f aca="false">P45</f>
        <v>39957.17</v>
      </c>
      <c r="G45" s="49" t="s">
        <v>156</v>
      </c>
      <c r="H45" s="34" t="n">
        <f aca="false">45663/1.2*1.05</f>
        <v>39955.13</v>
      </c>
      <c r="I45" s="34" t="n">
        <f aca="false">E45*H45</f>
        <v>119865.39</v>
      </c>
      <c r="J45" s="42" t="s">
        <v>157</v>
      </c>
      <c r="K45" s="34" t="n">
        <f aca="false">45670/1.2*1.05</f>
        <v>39961.25</v>
      </c>
      <c r="L45" s="34" t="n">
        <f aca="false">E45*K45</f>
        <v>119883.75</v>
      </c>
      <c r="M45" s="42" t="s">
        <v>158</v>
      </c>
      <c r="N45" s="34" t="n">
        <f aca="false">45663/1.2*1.05</f>
        <v>39955.13</v>
      </c>
      <c r="O45" s="34" t="n">
        <f aca="false">E45*N45</f>
        <v>119865.39</v>
      </c>
      <c r="P45" s="35" t="n">
        <f aca="false">AVERAGE(H45,K45,N45)</f>
        <v>39957.17</v>
      </c>
      <c r="Q45" s="36" t="n">
        <f aca="false">F45*100/P45-100</f>
        <v>0</v>
      </c>
      <c r="R45" s="35" t="n">
        <f aca="false">P45*E45</f>
        <v>119871.51</v>
      </c>
      <c r="S45" s="37"/>
      <c r="U45" s="39" t="n">
        <f aca="false">ROUND(H45*100/P45-100,0)</f>
        <v>-0</v>
      </c>
      <c r="V45" s="39" t="n">
        <f aca="false">ROUND(K45*100/P45-100,0)</f>
        <v>0</v>
      </c>
      <c r="W45" s="39" t="n">
        <f aca="false">ROUND(N45*100/P45-100,0)</f>
        <v>-0</v>
      </c>
      <c r="X45" s="85" t="n">
        <f aca="false">P45/1.2</f>
        <v>33297.64</v>
      </c>
      <c r="Y45" s="85" t="n">
        <f aca="false">P45*1.2</f>
        <v>47948.6</v>
      </c>
      <c r="Z45" s="86" t="n">
        <f aca="false">AND((H45)&gt;=MIN(X45),(H45)&lt;=MAX(Y45))</f>
        <v>1</v>
      </c>
      <c r="AA45" s="86" t="n">
        <f aca="false">AND((K45)&gt;=MIN(X45),(K45)&lt;=MAX(Y45))</f>
        <v>1</v>
      </c>
      <c r="AB45" s="86" t="n">
        <f aca="false">AND((N45)&gt;=MIN(X45),(N45)&lt;=MAX(Y45))</f>
        <v>1</v>
      </c>
      <c r="AC45" s="95"/>
      <c r="AD45" s="88"/>
      <c r="AE45" s="88" t="n">
        <f aca="false">AD45*E45</f>
        <v>0</v>
      </c>
      <c r="AF45" s="95"/>
      <c r="AG45" s="88"/>
      <c r="AH45" s="89" t="n">
        <f aca="false">AG45*E45</f>
        <v>0</v>
      </c>
      <c r="AI45" s="95"/>
      <c r="AJ45" s="88"/>
      <c r="AK45" s="89" t="n">
        <f aca="false">AJ45*E45</f>
        <v>0</v>
      </c>
      <c r="AL45" s="91" t="e">
        <f aca="false">AVERAGE(AD45,AG45,AJ45)</f>
        <v>#DIV/0!</v>
      </c>
      <c r="AM45" s="91" t="e">
        <f aca="false">((F45-AL45)/AL45)*100</f>
        <v>#DIV/0!</v>
      </c>
      <c r="AN45" s="92" t="e">
        <f aca="false">AL45/1.2</f>
        <v>#DIV/0!</v>
      </c>
      <c r="AO45" s="92" t="e">
        <f aca="false">AL45*1.2</f>
        <v>#DIV/0!</v>
      </c>
      <c r="AP45" s="86" t="e">
        <f aca="false">AND((AD45)&gt;=MIN(AN45),(AD45)&lt;=MAX(AO45))</f>
        <v>#DIV/0!</v>
      </c>
      <c r="AQ45" s="86" t="e">
        <f aca="false">AND((AG45)&gt;=MIN(AN45),(AG45)&lt;=MAX(AO45))</f>
        <v>#DIV/0!</v>
      </c>
      <c r="AR45" s="86" t="e">
        <f aca="false">AND((AJ45)&gt;=MIN(AN45),(AJ45)&lt;=MAX(AO45))</f>
        <v>#DIV/0!</v>
      </c>
    </row>
    <row r="46" s="38" customFormat="true" ht="150" hidden="false" customHeight="true" outlineLevel="0" collapsed="false">
      <c r="A46" s="28" t="n">
        <v>36</v>
      </c>
      <c r="B46" s="99"/>
      <c r="C46" s="43" t="s">
        <v>159</v>
      </c>
      <c r="D46" s="44" t="s">
        <v>64</v>
      </c>
      <c r="E46" s="45" t="n">
        <v>131.5</v>
      </c>
      <c r="F46" s="32" t="n">
        <f aca="false">P46</f>
        <v>203.84</v>
      </c>
      <c r="G46" s="46" t="s">
        <v>160</v>
      </c>
      <c r="H46" s="34" t="n">
        <f aca="false">1005/4.5/1.2*1.05</f>
        <v>195.42</v>
      </c>
      <c r="I46" s="34" t="n">
        <f aca="false">E46*H46</f>
        <v>25697.73</v>
      </c>
      <c r="J46" s="42" t="s">
        <v>161</v>
      </c>
      <c r="K46" s="34" t="n">
        <f aca="false">995/4.5/1.2*1.05</f>
        <v>193.47</v>
      </c>
      <c r="L46" s="34" t="n">
        <f aca="false">E46*K46</f>
        <v>25441.31</v>
      </c>
      <c r="M46" s="42" t="s">
        <v>162</v>
      </c>
      <c r="N46" s="34" t="n">
        <f aca="false">229/0.9/1.2*1.05</f>
        <v>222.64</v>
      </c>
      <c r="O46" s="34" t="n">
        <f aca="false">E46*N46</f>
        <v>29277.16</v>
      </c>
      <c r="P46" s="35" t="n">
        <f aca="false">AVERAGE(H46,K46,N46)</f>
        <v>203.84</v>
      </c>
      <c r="Q46" s="36" t="n">
        <f aca="false">F46*100/P46-100</f>
        <v>0</v>
      </c>
      <c r="R46" s="35" t="n">
        <f aca="false">P46*E46</f>
        <v>26804.96</v>
      </c>
      <c r="S46" s="37"/>
      <c r="U46" s="39" t="n">
        <f aca="false">ROUND(H46*100/P46-100,0)</f>
        <v>-4</v>
      </c>
      <c r="V46" s="39" t="n">
        <f aca="false">ROUND(K46*100/P46-100,0)</f>
        <v>-5</v>
      </c>
      <c r="W46" s="39" t="n">
        <f aca="false">ROUND(N46*100/P46-100,0)</f>
        <v>9</v>
      </c>
      <c r="X46" s="85" t="n">
        <f aca="false">P46/1.2</f>
        <v>169.87</v>
      </c>
      <c r="Y46" s="85" t="n">
        <f aca="false">P46*1.2</f>
        <v>244.61</v>
      </c>
      <c r="Z46" s="86" t="n">
        <f aca="false">AND((H46)&gt;=MIN(X46),(H46)&lt;=MAX(Y46))</f>
        <v>1</v>
      </c>
      <c r="AA46" s="86" t="n">
        <f aca="false">AND((K46)&gt;=MIN(X46),(K46)&lt;=MAX(Y46))</f>
        <v>1</v>
      </c>
      <c r="AB46" s="86" t="n">
        <f aca="false">AND((N46)&gt;=MIN(X46),(N46)&lt;=MAX(Y46))</f>
        <v>1</v>
      </c>
      <c r="AC46" s="87" t="s">
        <v>744</v>
      </c>
      <c r="AD46" s="88" t="n">
        <f aca="false">1840/1.2/10*1.05</f>
        <v>161</v>
      </c>
      <c r="AE46" s="88" t="n">
        <f aca="false">AD46*E46</f>
        <v>21171.5</v>
      </c>
      <c r="AF46" s="95" t="s">
        <v>745</v>
      </c>
      <c r="AG46" s="88" t="n">
        <f aca="false">1603/1.2/10*1.05</f>
        <v>140.26</v>
      </c>
      <c r="AH46" s="89" t="n">
        <f aca="false">AG46*E46</f>
        <v>18444.19</v>
      </c>
      <c r="AI46" s="95" t="s">
        <v>746</v>
      </c>
      <c r="AJ46" s="88" t="n">
        <f aca="false">1590/1.2/10*1.05</f>
        <v>139.13</v>
      </c>
      <c r="AK46" s="89" t="n">
        <f aca="false">AJ46*E46</f>
        <v>18295.6</v>
      </c>
      <c r="AL46" s="91" t="n">
        <f aca="false">AVERAGE(AD46,AG46,AJ46)</f>
        <v>146.8</v>
      </c>
      <c r="AM46" s="91" t="n">
        <f aca="false">((F46-AL46)/AL46)*100</f>
        <v>38.86</v>
      </c>
      <c r="AN46" s="92" t="n">
        <f aca="false">AL46/1.2</f>
        <v>122.33</v>
      </c>
      <c r="AO46" s="92" t="n">
        <f aca="false">AL46*1.2</f>
        <v>176.16</v>
      </c>
      <c r="AP46" s="86" t="n">
        <f aca="false">AND((AD46)&gt;=MIN(AN46),(AD46)&lt;=MAX(AO46))</f>
        <v>1</v>
      </c>
      <c r="AQ46" s="86" t="n">
        <f aca="false">AND((AG46)&gt;=MIN(AN46),(AG46)&lt;=MAX(AO46))</f>
        <v>1</v>
      </c>
      <c r="AR46" s="86" t="n">
        <f aca="false">AND((AJ46)&gt;=MIN(AN46),(AJ46)&lt;=MAX(AO46))</f>
        <v>1</v>
      </c>
    </row>
    <row r="47" s="38" customFormat="true" ht="105" hidden="false" customHeight="true" outlineLevel="0" collapsed="false">
      <c r="A47" s="28" t="n">
        <v>37</v>
      </c>
      <c r="B47" s="84" t="s">
        <v>747</v>
      </c>
      <c r="C47" s="43" t="s">
        <v>163</v>
      </c>
      <c r="D47" s="44" t="s">
        <v>143</v>
      </c>
      <c r="E47" s="45" t="n">
        <v>0.5</v>
      </c>
      <c r="F47" s="32" t="n">
        <f aca="false">P47</f>
        <v>380.63</v>
      </c>
      <c r="G47" s="33" t="s">
        <v>23</v>
      </c>
      <c r="H47" s="34" t="n">
        <f aca="false">470/1.2*1.05</f>
        <v>411.25</v>
      </c>
      <c r="I47" s="34" t="n">
        <f aca="false">E47*H47</f>
        <v>205.63</v>
      </c>
      <c r="J47" s="33" t="s">
        <v>24</v>
      </c>
      <c r="K47" s="34" t="n">
        <f aca="false">415/1.2*1.05</f>
        <v>363.13</v>
      </c>
      <c r="L47" s="34" t="n">
        <f aca="false">E47*K47</f>
        <v>181.57</v>
      </c>
      <c r="M47" s="33" t="s">
        <v>25</v>
      </c>
      <c r="N47" s="34" t="n">
        <f aca="false">420/1.2*1.05</f>
        <v>367.5</v>
      </c>
      <c r="O47" s="34" t="n">
        <f aca="false">E47*N47</f>
        <v>183.75</v>
      </c>
      <c r="P47" s="35" t="n">
        <f aca="false">AVERAGE(H47,K47,N47)</f>
        <v>380.63</v>
      </c>
      <c r="Q47" s="36" t="n">
        <f aca="false">F47*100/P47-100</f>
        <v>0</v>
      </c>
      <c r="R47" s="35" t="n">
        <f aca="false">P47*E47</f>
        <v>190.32</v>
      </c>
      <c r="S47" s="37"/>
      <c r="U47" s="39" t="n">
        <f aca="false">ROUND(H47*100/P47-100,0)</f>
        <v>8</v>
      </c>
      <c r="V47" s="39" t="n">
        <f aca="false">ROUND(K47*100/P47-100,0)</f>
        <v>-5</v>
      </c>
      <c r="W47" s="39" t="n">
        <f aca="false">ROUND(N47*100/P47-100,0)</f>
        <v>-3</v>
      </c>
      <c r="X47" s="85" t="n">
        <f aca="false">P47/1.2</f>
        <v>317.19</v>
      </c>
      <c r="Y47" s="85" t="n">
        <f aca="false">P47*1.2</f>
        <v>456.76</v>
      </c>
      <c r="Z47" s="86" t="n">
        <f aca="false">AND((H47)&gt;=MIN(X47),(H47)&lt;=MAX(Y47))</f>
        <v>1</v>
      </c>
      <c r="AA47" s="86" t="n">
        <f aca="false">AND((K47)&gt;=MIN(X47),(K47)&lt;=MAX(Y47))</f>
        <v>1</v>
      </c>
      <c r="AB47" s="86" t="n">
        <f aca="false">AND((N47)&gt;=MIN(X47),(N47)&lt;=MAX(Y47))</f>
        <v>1</v>
      </c>
      <c r="AC47" s="95"/>
      <c r="AD47" s="88"/>
      <c r="AE47" s="88" t="n">
        <f aca="false">AD47*E47</f>
        <v>0</v>
      </c>
      <c r="AF47" s="95"/>
      <c r="AG47" s="88"/>
      <c r="AH47" s="89" t="n">
        <f aca="false">AG47*E47</f>
        <v>0</v>
      </c>
      <c r="AI47" s="95"/>
      <c r="AJ47" s="88"/>
      <c r="AK47" s="89" t="n">
        <f aca="false">AJ47*E47</f>
        <v>0</v>
      </c>
      <c r="AL47" s="91" t="e">
        <f aca="false">AVERAGE(AD47,AG47,AJ47)</f>
        <v>#DIV/0!</v>
      </c>
      <c r="AM47" s="91" t="e">
        <f aca="false">((F47-AL47)/AL47)*100</f>
        <v>#DIV/0!</v>
      </c>
      <c r="AN47" s="92" t="e">
        <f aca="false">AL47/1.2</f>
        <v>#DIV/0!</v>
      </c>
      <c r="AO47" s="92" t="e">
        <f aca="false">AL47*1.2</f>
        <v>#DIV/0!</v>
      </c>
      <c r="AP47" s="86" t="e">
        <f aca="false">AND((AD47)&gt;=MIN(AN47),(AD47)&lt;=MAX(AO47))</f>
        <v>#DIV/0!</v>
      </c>
      <c r="AQ47" s="86" t="e">
        <f aca="false">AND((AG47)&gt;=MIN(AN47),(AG47)&lt;=MAX(AO47))</f>
        <v>#DIV/0!</v>
      </c>
      <c r="AR47" s="86" t="e">
        <f aca="false">AND((AJ47)&gt;=MIN(AN47),(AJ47)&lt;=MAX(AO47))</f>
        <v>#DIV/0!</v>
      </c>
    </row>
    <row r="48" s="38" customFormat="true" ht="66.75" hidden="false" customHeight="true" outlineLevel="0" collapsed="false">
      <c r="A48" s="28" t="n">
        <v>38</v>
      </c>
      <c r="B48" s="84" t="s">
        <v>748</v>
      </c>
      <c r="C48" s="43" t="s">
        <v>164</v>
      </c>
      <c r="D48" s="44" t="s">
        <v>143</v>
      </c>
      <c r="E48" s="45" t="n">
        <v>1</v>
      </c>
      <c r="F48" s="32" t="n">
        <f aca="false">P48</f>
        <v>965.42</v>
      </c>
      <c r="G48" s="42" t="s">
        <v>165</v>
      </c>
      <c r="H48" s="34" t="n">
        <f aca="false">1155/1.2*1.05</f>
        <v>1010.63</v>
      </c>
      <c r="I48" s="34" t="n">
        <f aca="false">E48*H48</f>
        <v>1010.63</v>
      </c>
      <c r="J48" s="42" t="s">
        <v>166</v>
      </c>
      <c r="K48" s="34" t="n">
        <f aca="false">1116/1.2*1.05</f>
        <v>976.5</v>
      </c>
      <c r="L48" s="34" t="n">
        <f aca="false">E48*K48</f>
        <v>976.5</v>
      </c>
      <c r="M48" s="42" t="s">
        <v>167</v>
      </c>
      <c r="N48" s="34" t="n">
        <f aca="false">1039/1.2*1.05</f>
        <v>909.13</v>
      </c>
      <c r="O48" s="34" t="n">
        <f aca="false">E48*N48</f>
        <v>909.13</v>
      </c>
      <c r="P48" s="35" t="n">
        <f aca="false">AVERAGE(H48,K48,N48)</f>
        <v>965.42</v>
      </c>
      <c r="Q48" s="36" t="n">
        <f aca="false">F48*100/P48-100</f>
        <v>0</v>
      </c>
      <c r="R48" s="35" t="n">
        <f aca="false">P48*E48</f>
        <v>965.42</v>
      </c>
      <c r="S48" s="37"/>
      <c r="U48" s="39" t="n">
        <f aca="false">ROUND(H48*100/P48-100,0)</f>
        <v>5</v>
      </c>
      <c r="V48" s="39" t="n">
        <f aca="false">ROUND(K48*100/P48-100,0)</f>
        <v>1</v>
      </c>
      <c r="W48" s="39" t="n">
        <f aca="false">ROUND(N48*100/P48-100,0)</f>
        <v>-6</v>
      </c>
      <c r="X48" s="85" t="n">
        <f aca="false">P48/1.2</f>
        <v>804.52</v>
      </c>
      <c r="Y48" s="85" t="n">
        <f aca="false">P48*1.2</f>
        <v>1158.5</v>
      </c>
      <c r="Z48" s="86" t="n">
        <f aca="false">AND((H48)&gt;=MIN(X48),(H48)&lt;=MAX(Y48))</f>
        <v>1</v>
      </c>
      <c r="AA48" s="86" t="n">
        <f aca="false">AND((K48)&gt;=MIN(X48),(K48)&lt;=MAX(Y48))</f>
        <v>1</v>
      </c>
      <c r="AB48" s="86" t="n">
        <f aca="false">AND((N48)&gt;=MIN(X48),(N48)&lt;=MAX(Y48))</f>
        <v>1</v>
      </c>
      <c r="AC48" s="95" t="s">
        <v>749</v>
      </c>
      <c r="AD48" s="88" t="n">
        <f aca="false">1106.3/1.2*1.042</f>
        <v>960.64</v>
      </c>
      <c r="AE48" s="88" t="n">
        <f aca="false">AD48*E48</f>
        <v>960.64</v>
      </c>
      <c r="AF48" s="95" t="s">
        <v>750</v>
      </c>
      <c r="AG48" s="88" t="n">
        <f aca="false">1156/1.2*1.042</f>
        <v>1003.79</v>
      </c>
      <c r="AH48" s="89" t="n">
        <f aca="false">AG48*E48</f>
        <v>1003.79</v>
      </c>
      <c r="AI48" s="95" t="s">
        <v>751</v>
      </c>
      <c r="AJ48" s="88" t="n">
        <f aca="false">1223/1.2*1.042</f>
        <v>1061.97</v>
      </c>
      <c r="AK48" s="89" t="n">
        <f aca="false">AJ48*E48</f>
        <v>1061.97</v>
      </c>
      <c r="AL48" s="91" t="n">
        <f aca="false">AVERAGE(AD48,AG48,AJ48)</f>
        <v>1008.8</v>
      </c>
      <c r="AM48" s="91" t="n">
        <f aca="false">((F48-AL48)/AL48)*100</f>
        <v>-4.3</v>
      </c>
      <c r="AN48" s="92" t="n">
        <f aca="false">AL48/1.2</f>
        <v>840.67</v>
      </c>
      <c r="AO48" s="92" t="n">
        <f aca="false">AL48*1.2</f>
        <v>1210.56</v>
      </c>
      <c r="AP48" s="86" t="n">
        <f aca="false">AND((AD48)&gt;=MIN(AN48),(AD48)&lt;=MAX(AO48))</f>
        <v>1</v>
      </c>
      <c r="AQ48" s="86" t="n">
        <f aca="false">AND((AG48)&gt;=MIN(AN48),(AG48)&lt;=MAX(AO48))</f>
        <v>1</v>
      </c>
      <c r="AR48" s="86" t="n">
        <f aca="false">AND((AJ48)&gt;=MIN(AN48),(AJ48)&lt;=MAX(AO48))</f>
        <v>1</v>
      </c>
    </row>
    <row r="49" s="38" customFormat="true" ht="69.75" hidden="false" customHeight="true" outlineLevel="0" collapsed="false">
      <c r="A49" s="28" t="n">
        <v>39</v>
      </c>
      <c r="B49" s="84" t="s">
        <v>752</v>
      </c>
      <c r="C49" s="43" t="s">
        <v>753</v>
      </c>
      <c r="D49" s="44" t="s">
        <v>143</v>
      </c>
      <c r="E49" s="45" t="n">
        <v>1</v>
      </c>
      <c r="F49" s="32" t="n">
        <f aca="false">P49</f>
        <v>1133.13</v>
      </c>
      <c r="G49" s="42" t="s">
        <v>169</v>
      </c>
      <c r="H49" s="34" t="n">
        <f aca="false">1500/1.2*1.05</f>
        <v>1312.5</v>
      </c>
      <c r="I49" s="34" t="n">
        <f aca="false">E49*H49</f>
        <v>1312.5</v>
      </c>
      <c r="J49" s="42" t="s">
        <v>170</v>
      </c>
      <c r="K49" s="34" t="n">
        <f aca="false">1320/1.2*1.05</f>
        <v>1155</v>
      </c>
      <c r="L49" s="34" t="n">
        <f aca="false">E49*K49</f>
        <v>1155</v>
      </c>
      <c r="M49" s="42" t="s">
        <v>171</v>
      </c>
      <c r="N49" s="34" t="n">
        <f aca="false">1065/1.2*1.05</f>
        <v>931.88</v>
      </c>
      <c r="O49" s="34" t="n">
        <f aca="false">E49*N49</f>
        <v>931.88</v>
      </c>
      <c r="P49" s="35" t="n">
        <f aca="false">AVERAGE(H49,K49,N49)</f>
        <v>1133.13</v>
      </c>
      <c r="Q49" s="36" t="n">
        <f aca="false">F49*100/P49-100</f>
        <v>0</v>
      </c>
      <c r="R49" s="35" t="n">
        <f aca="false">P49*E49</f>
        <v>1133.13</v>
      </c>
      <c r="S49" s="37"/>
      <c r="U49" s="39" t="n">
        <f aca="false">ROUND(H49*100/P49-100,0)</f>
        <v>16</v>
      </c>
      <c r="V49" s="39" t="n">
        <f aca="false">ROUND(K49*100/P49-100,0)</f>
        <v>2</v>
      </c>
      <c r="W49" s="39" t="n">
        <f aca="false">ROUND(N49*100/P49-100,0)</f>
        <v>-18</v>
      </c>
      <c r="X49" s="85" t="n">
        <f aca="false">P49/1.2</f>
        <v>944.28</v>
      </c>
      <c r="Y49" s="85" t="n">
        <f aca="false">P49*1.2</f>
        <v>1359.76</v>
      </c>
      <c r="Z49" s="86" t="n">
        <f aca="false">AND((H49)&gt;=MIN(X49),(H49)&lt;=MAX(Y49))</f>
        <v>1</v>
      </c>
      <c r="AA49" s="86" t="n">
        <f aca="false">AND((K49)&gt;=MIN(X49),(K49)&lt;=MAX(Y49))</f>
        <v>1</v>
      </c>
      <c r="AB49" s="101" t="n">
        <f aca="false">AND((N49)&gt;=MIN(X49),(N49)&lt;=MAX(Y49))</f>
        <v>0</v>
      </c>
      <c r="AC49" s="95" t="s">
        <v>754</v>
      </c>
      <c r="AD49" s="88" t="n">
        <f aca="false">900/1.2*1.042</f>
        <v>781.5</v>
      </c>
      <c r="AE49" s="88" t="n">
        <f aca="false">AD49*E49</f>
        <v>781.5</v>
      </c>
      <c r="AF49" s="95" t="s">
        <v>755</v>
      </c>
      <c r="AG49" s="88" t="n">
        <f aca="false">811/1.2*1.042</f>
        <v>704.22</v>
      </c>
      <c r="AH49" s="89" t="n">
        <f aca="false">AG49*E49</f>
        <v>704.22</v>
      </c>
      <c r="AI49" s="95" t="s">
        <v>756</v>
      </c>
      <c r="AJ49" s="88" t="n">
        <f aca="false">982.5/1.2*1.042</f>
        <v>853.14</v>
      </c>
      <c r="AK49" s="89" t="n">
        <f aca="false">AJ49*E49</f>
        <v>853.14</v>
      </c>
      <c r="AL49" s="91" t="n">
        <f aca="false">AVERAGE(AD49,AG49,AJ49)</f>
        <v>779.62</v>
      </c>
      <c r="AM49" s="91" t="n">
        <f aca="false">((F49-AL49)/AL49)*100</f>
        <v>45.34</v>
      </c>
      <c r="AN49" s="92" t="n">
        <f aca="false">AL49/1.2</f>
        <v>649.68</v>
      </c>
      <c r="AO49" s="92" t="n">
        <f aca="false">AL49*1.2</f>
        <v>935.54</v>
      </c>
      <c r="AP49" s="86" t="n">
        <f aca="false">AND((AD49)&gt;=MIN(AN49),(AD49)&lt;=MAX(AO49))</f>
        <v>1</v>
      </c>
      <c r="AQ49" s="86" t="n">
        <f aca="false">AND((AG49)&gt;=MIN(AN49),(AG49)&lt;=MAX(AO49))</f>
        <v>1</v>
      </c>
      <c r="AR49" s="86" t="n">
        <f aca="false">AND((AJ49)&gt;=MIN(AN49),(AJ49)&lt;=MAX(AO49))</f>
        <v>1</v>
      </c>
    </row>
    <row r="50" s="38" customFormat="true" ht="52.5" hidden="false" customHeight="true" outlineLevel="0" collapsed="false">
      <c r="A50" s="28" t="n">
        <v>40</v>
      </c>
      <c r="B50" s="84" t="s">
        <v>757</v>
      </c>
      <c r="C50" s="43" t="s">
        <v>758</v>
      </c>
      <c r="D50" s="44" t="s">
        <v>143</v>
      </c>
      <c r="E50" s="45" t="n">
        <v>1</v>
      </c>
      <c r="F50" s="32" t="n">
        <f aca="false">P50</f>
        <v>1133.13</v>
      </c>
      <c r="G50" s="42" t="s">
        <v>169</v>
      </c>
      <c r="H50" s="34" t="n">
        <f aca="false">1500/1.2*1.05</f>
        <v>1312.5</v>
      </c>
      <c r="I50" s="34" t="n">
        <f aca="false">E50*H50</f>
        <v>1312.5</v>
      </c>
      <c r="J50" s="42" t="s">
        <v>170</v>
      </c>
      <c r="K50" s="34" t="n">
        <f aca="false">1320/1.2*1.05</f>
        <v>1155</v>
      </c>
      <c r="L50" s="34" t="n">
        <f aca="false">E50*K50</f>
        <v>1155</v>
      </c>
      <c r="M50" s="42" t="s">
        <v>171</v>
      </c>
      <c r="N50" s="34" t="n">
        <f aca="false">1065/1.2*1.05</f>
        <v>931.88</v>
      </c>
      <c r="O50" s="34" t="n">
        <f aca="false">E50*N50</f>
        <v>931.88</v>
      </c>
      <c r="P50" s="35" t="n">
        <f aca="false">AVERAGE(H50,K50,N50)</f>
        <v>1133.13</v>
      </c>
      <c r="Q50" s="36" t="n">
        <f aca="false">F50*100/P50-100</f>
        <v>0</v>
      </c>
      <c r="R50" s="35" t="n">
        <f aca="false">P50*E50</f>
        <v>1133.13</v>
      </c>
      <c r="S50" s="37"/>
      <c r="U50" s="39" t="n">
        <f aca="false">ROUND(H50*100/P50-100,0)</f>
        <v>16</v>
      </c>
      <c r="V50" s="39" t="n">
        <f aca="false">ROUND(K50*100/P50-100,0)</f>
        <v>2</v>
      </c>
      <c r="W50" s="39" t="n">
        <f aca="false">ROUND(N50*100/P50-100,0)</f>
        <v>-18</v>
      </c>
      <c r="X50" s="85" t="n">
        <f aca="false">P50/1.2</f>
        <v>944.28</v>
      </c>
      <c r="Y50" s="85" t="n">
        <f aca="false">P50*1.2</f>
        <v>1359.76</v>
      </c>
      <c r="Z50" s="86" t="n">
        <f aca="false">AND((H50)&gt;=MIN(X50),(H50)&lt;=MAX(Y50))</f>
        <v>1</v>
      </c>
      <c r="AA50" s="86" t="n">
        <f aca="false">AND((K50)&gt;=MIN(X50),(K50)&lt;=MAX(Y50))</f>
        <v>1</v>
      </c>
      <c r="AB50" s="101" t="n">
        <f aca="false">AND((N50)&gt;=MIN(X50),(N50)&lt;=MAX(Y50))</f>
        <v>0</v>
      </c>
      <c r="AC50" s="95" t="s">
        <v>754</v>
      </c>
      <c r="AD50" s="88" t="n">
        <f aca="false">900/1.2*1.042</f>
        <v>781.5</v>
      </c>
      <c r="AE50" s="88" t="n">
        <f aca="false">AD50*E50</f>
        <v>781.5</v>
      </c>
      <c r="AF50" s="95" t="s">
        <v>759</v>
      </c>
      <c r="AG50" s="88" t="n">
        <f aca="false">811/1.2*1.042</f>
        <v>704.22</v>
      </c>
      <c r="AH50" s="89" t="n">
        <f aca="false">AG50*E50</f>
        <v>704.22</v>
      </c>
      <c r="AI50" s="95" t="s">
        <v>756</v>
      </c>
      <c r="AJ50" s="88" t="n">
        <f aca="false">982.5/1.2*1.042</f>
        <v>853.14</v>
      </c>
      <c r="AK50" s="89" t="n">
        <f aca="false">AJ50*E50</f>
        <v>853.14</v>
      </c>
      <c r="AL50" s="91" t="n">
        <f aca="false">AVERAGE(AD50,AG50,AJ50)</f>
        <v>779.62</v>
      </c>
      <c r="AM50" s="91" t="n">
        <f aca="false">((F50-AL50)/AL50)*100</f>
        <v>45.34</v>
      </c>
      <c r="AN50" s="92" t="n">
        <f aca="false">AL50/1.2</f>
        <v>649.68</v>
      </c>
      <c r="AO50" s="92" t="n">
        <f aca="false">AL50*1.2</f>
        <v>935.54</v>
      </c>
      <c r="AP50" s="86" t="n">
        <f aca="false">AND((AD50)&gt;=MIN(AN50),(AD50)&lt;=MAX(AO50))</f>
        <v>1</v>
      </c>
      <c r="AQ50" s="86" t="n">
        <f aca="false">AND((AG50)&gt;=MIN(AN50),(AG50)&lt;=MAX(AO50))</f>
        <v>1</v>
      </c>
      <c r="AR50" s="86" t="n">
        <f aca="false">AND((AJ50)&gt;=MIN(AN50),(AJ50)&lt;=MAX(AO50))</f>
        <v>1</v>
      </c>
    </row>
    <row r="51" s="38" customFormat="true" ht="66.75" hidden="false" customHeight="true" outlineLevel="0" collapsed="false">
      <c r="A51" s="28" t="n">
        <v>41</v>
      </c>
      <c r="B51" s="99"/>
      <c r="C51" s="43" t="s">
        <v>760</v>
      </c>
      <c r="D51" s="44" t="s">
        <v>143</v>
      </c>
      <c r="E51" s="45" t="n">
        <v>1</v>
      </c>
      <c r="F51" s="32" t="n">
        <f aca="false">P51</f>
        <v>512.17</v>
      </c>
      <c r="G51" s="42" t="s">
        <v>174</v>
      </c>
      <c r="H51" s="34" t="n">
        <f aca="false">540/1.2*1.05</f>
        <v>472.5</v>
      </c>
      <c r="I51" s="34" t="n">
        <f aca="false">E51*H51</f>
        <v>472.5</v>
      </c>
      <c r="J51" s="42" t="s">
        <v>175</v>
      </c>
      <c r="K51" s="34" t="n">
        <f aca="false">596/1.2*1.05</f>
        <v>521.5</v>
      </c>
      <c r="L51" s="34" t="n">
        <f aca="false">E51*K51</f>
        <v>521.5</v>
      </c>
      <c r="M51" s="42" t="s">
        <v>176</v>
      </c>
      <c r="N51" s="34" t="n">
        <f aca="false">620/1.2*1.05</f>
        <v>542.5</v>
      </c>
      <c r="O51" s="34" t="n">
        <f aca="false">E51*N51</f>
        <v>542.5</v>
      </c>
      <c r="P51" s="35" t="n">
        <f aca="false">AVERAGE(H51,K51,N51)</f>
        <v>512.17</v>
      </c>
      <c r="Q51" s="36" t="n">
        <f aca="false">F51*100/P51-100</f>
        <v>0</v>
      </c>
      <c r="R51" s="35" t="n">
        <f aca="false">P51*E51</f>
        <v>512.17</v>
      </c>
      <c r="S51" s="37"/>
      <c r="U51" s="39" t="n">
        <f aca="false">ROUND(H51*100/P51-100,0)</f>
        <v>-8</v>
      </c>
      <c r="V51" s="39" t="n">
        <f aca="false">ROUND(K51*100/P51-100,0)</f>
        <v>2</v>
      </c>
      <c r="W51" s="39" t="n">
        <f aca="false">ROUND(N51*100/P51-100,0)</f>
        <v>6</v>
      </c>
      <c r="X51" s="85" t="n">
        <f aca="false">P51/1.2</f>
        <v>426.81</v>
      </c>
      <c r="Y51" s="85" t="n">
        <f aca="false">P51*1.2</f>
        <v>614.6</v>
      </c>
      <c r="Z51" s="86" t="n">
        <f aca="false">AND((H51)&gt;=MIN(X51),(H51)&lt;=MAX(Y51))</f>
        <v>1</v>
      </c>
      <c r="AA51" s="86" t="n">
        <f aca="false">AND((K51)&gt;=MIN(X51),(K51)&lt;=MAX(Y51))</f>
        <v>1</v>
      </c>
      <c r="AB51" s="86" t="n">
        <f aca="false">AND((N51)&gt;=MIN(X51),(N51)&lt;=MAX(Y51))</f>
        <v>1</v>
      </c>
      <c r="AC51" s="95" t="s">
        <v>761</v>
      </c>
      <c r="AD51" s="88" t="n">
        <f aca="false">972/1.2*1.042</f>
        <v>844.02</v>
      </c>
      <c r="AE51" s="88" t="n">
        <f aca="false">AD51*E51</f>
        <v>844.02</v>
      </c>
      <c r="AF51" s="95" t="s">
        <v>762</v>
      </c>
      <c r="AG51" s="88" t="n">
        <f aca="false">765/1.2*1.042</f>
        <v>664.28</v>
      </c>
      <c r="AH51" s="89" t="n">
        <f aca="false">AG51*E51</f>
        <v>664.28</v>
      </c>
      <c r="AI51" s="95" t="s">
        <v>763</v>
      </c>
      <c r="AJ51" s="88" t="n">
        <f aca="false">808/1.2*1.042</f>
        <v>701.61</v>
      </c>
      <c r="AK51" s="89" t="n">
        <f aca="false">AJ51*E51</f>
        <v>701.61</v>
      </c>
      <c r="AL51" s="91" t="n">
        <f aca="false">AVERAGE(AD51,AG51,AJ51)</f>
        <v>736.64</v>
      </c>
      <c r="AM51" s="91" t="n">
        <f aca="false">((F51-AL51)/AL51)*100</f>
        <v>-30.47</v>
      </c>
      <c r="AN51" s="92" t="n">
        <f aca="false">AL51/1.2</f>
        <v>613.87</v>
      </c>
      <c r="AO51" s="92" t="n">
        <f aca="false">AL51*1.2</f>
        <v>883.97</v>
      </c>
      <c r="AP51" s="86" t="n">
        <f aca="false">AND((AD51)&gt;=MIN(AN51),(AD51)&lt;=MAX(AO51))</f>
        <v>1</v>
      </c>
      <c r="AQ51" s="86" t="n">
        <f aca="false">AND((AG51)&gt;=MIN(AN51),(AG51)&lt;=MAX(AO51))</f>
        <v>1</v>
      </c>
      <c r="AR51" s="86" t="n">
        <f aca="false">AND((AJ51)&gt;=MIN(AN51),(AJ51)&lt;=MAX(AO51))</f>
        <v>1</v>
      </c>
    </row>
    <row r="52" s="38" customFormat="true" ht="72.75" hidden="false" customHeight="true" outlineLevel="0" collapsed="false">
      <c r="A52" s="28" t="n">
        <v>42</v>
      </c>
      <c r="B52" s="84" t="s">
        <v>764</v>
      </c>
      <c r="C52" s="43" t="s">
        <v>765</v>
      </c>
      <c r="D52" s="44" t="s">
        <v>143</v>
      </c>
      <c r="E52" s="45" t="n">
        <v>1</v>
      </c>
      <c r="F52" s="32" t="n">
        <f aca="false">P52</f>
        <v>497.23</v>
      </c>
      <c r="G52" s="42" t="s">
        <v>178</v>
      </c>
      <c r="H52" s="34" t="n">
        <f aca="false">568.8/1.2*1.05</f>
        <v>497.7</v>
      </c>
      <c r="I52" s="34" t="n">
        <f aca="false">E52*H52</f>
        <v>497.7</v>
      </c>
      <c r="J52" s="42" t="s">
        <v>174</v>
      </c>
      <c r="K52" s="34" t="n">
        <f aca="false">540/1.2*1.05</f>
        <v>472.5</v>
      </c>
      <c r="L52" s="34" t="n">
        <f aca="false">E52*K52</f>
        <v>472.5</v>
      </c>
      <c r="M52" s="42" t="s">
        <v>179</v>
      </c>
      <c r="N52" s="34" t="n">
        <f aca="false">596/1.2*1.05</f>
        <v>521.5</v>
      </c>
      <c r="O52" s="34" t="n">
        <f aca="false">E52*N52</f>
        <v>521.5</v>
      </c>
      <c r="P52" s="35" t="n">
        <f aca="false">AVERAGE(H52,K52,N52)</f>
        <v>497.23</v>
      </c>
      <c r="Q52" s="36" t="n">
        <f aca="false">F52*100/P52-100</f>
        <v>0</v>
      </c>
      <c r="R52" s="35" t="n">
        <f aca="false">P52*E52</f>
        <v>497.23</v>
      </c>
      <c r="S52" s="37"/>
      <c r="U52" s="39" t="n">
        <f aca="false">ROUND(H52*100/P52-100,0)</f>
        <v>0</v>
      </c>
      <c r="V52" s="39" t="n">
        <f aca="false">ROUND(K52*100/P52-100,0)</f>
        <v>-5</v>
      </c>
      <c r="W52" s="39" t="n">
        <f aca="false">ROUND(N52*100/P52-100,0)</f>
        <v>5</v>
      </c>
      <c r="X52" s="85" t="n">
        <f aca="false">P52/1.2</f>
        <v>414.36</v>
      </c>
      <c r="Y52" s="85" t="n">
        <f aca="false">P52*1.2</f>
        <v>596.68</v>
      </c>
      <c r="Z52" s="86" t="n">
        <f aca="false">AND((H52)&gt;=MIN(X52),(H52)&lt;=MAX(Y52))</f>
        <v>1</v>
      </c>
      <c r="AA52" s="86" t="n">
        <f aca="false">AND((K52)&gt;=MIN(X52),(K52)&lt;=MAX(Y52))</f>
        <v>1</v>
      </c>
      <c r="AB52" s="86" t="n">
        <f aca="false">AND((N52)&gt;=MIN(X52),(N52)&lt;=MAX(Y52))</f>
        <v>1</v>
      </c>
      <c r="AC52" s="95" t="s">
        <v>766</v>
      </c>
      <c r="AD52" s="88" t="n">
        <f aca="false">495.52/1.2*1.042</f>
        <v>430.28</v>
      </c>
      <c r="AE52" s="88" t="n">
        <f aca="false">AD52*E52</f>
        <v>430.28</v>
      </c>
      <c r="AF52" s="95" t="s">
        <v>767</v>
      </c>
      <c r="AG52" s="88" t="n">
        <f aca="false">620/1.2*1.042</f>
        <v>538.37</v>
      </c>
      <c r="AH52" s="89" t="n">
        <f aca="false">AG52*E52</f>
        <v>538.37</v>
      </c>
      <c r="AI52" s="95" t="s">
        <v>768</v>
      </c>
      <c r="AJ52" s="88" t="n">
        <f aca="false">596/1.2*1.042</f>
        <v>517.53</v>
      </c>
      <c r="AK52" s="89" t="n">
        <f aca="false">AJ52*E52</f>
        <v>517.53</v>
      </c>
      <c r="AL52" s="91" t="n">
        <f aca="false">AVERAGE(AD52,AG52,AJ52)</f>
        <v>495.39</v>
      </c>
      <c r="AM52" s="91" t="n">
        <f aca="false">((F52-AL52)/AL52)*100</f>
        <v>0.37</v>
      </c>
      <c r="AN52" s="92" t="n">
        <f aca="false">AL52/1.2</f>
        <v>412.83</v>
      </c>
      <c r="AO52" s="92" t="n">
        <f aca="false">AL52*1.2</f>
        <v>594.47</v>
      </c>
      <c r="AP52" s="86" t="n">
        <f aca="false">AND((AD52)&gt;=MIN(AN52),(AD52)&lt;=MAX(AO52))</f>
        <v>1</v>
      </c>
      <c r="AQ52" s="86" t="n">
        <f aca="false">AND((AG52)&gt;=MIN(AN52),(AG52)&lt;=MAX(AO52))</f>
        <v>1</v>
      </c>
      <c r="AR52" s="86" t="n">
        <f aca="false">AND((AJ52)&gt;=MIN(AN52),(AJ52)&lt;=MAX(AO52))</f>
        <v>1</v>
      </c>
    </row>
    <row r="53" s="38" customFormat="true" ht="72.75" hidden="false" customHeight="true" outlineLevel="0" collapsed="false">
      <c r="A53" s="28" t="n">
        <v>43</v>
      </c>
      <c r="B53" s="84" t="s">
        <v>769</v>
      </c>
      <c r="C53" s="43" t="s">
        <v>770</v>
      </c>
      <c r="D53" s="44" t="s">
        <v>143</v>
      </c>
      <c r="E53" s="45" t="n">
        <v>5</v>
      </c>
      <c r="F53" s="32" t="n">
        <f aca="false">P53</f>
        <v>512.17</v>
      </c>
      <c r="G53" s="42" t="s">
        <v>181</v>
      </c>
      <c r="H53" s="34" t="n">
        <f aca="false">620/1.2*1.05</f>
        <v>542.5</v>
      </c>
      <c r="I53" s="34" t="n">
        <f aca="false">E53*H53</f>
        <v>2712.5</v>
      </c>
      <c r="J53" s="42" t="s">
        <v>182</v>
      </c>
      <c r="K53" s="34" t="n">
        <f aca="false">596/1.2*1.05</f>
        <v>521.5</v>
      </c>
      <c r="L53" s="34" t="n">
        <f aca="false">E53*K53</f>
        <v>2607.5</v>
      </c>
      <c r="M53" s="42" t="s">
        <v>174</v>
      </c>
      <c r="N53" s="34" t="n">
        <f aca="false">540/1.2*1.05</f>
        <v>472.5</v>
      </c>
      <c r="O53" s="34" t="n">
        <f aca="false">E53*N53</f>
        <v>2362.5</v>
      </c>
      <c r="P53" s="35" t="n">
        <f aca="false">AVERAGE(H53,K53,N53)</f>
        <v>512.17</v>
      </c>
      <c r="Q53" s="36" t="n">
        <f aca="false">F53*100/P53-100</f>
        <v>0</v>
      </c>
      <c r="R53" s="35" t="n">
        <f aca="false">P53*E53</f>
        <v>2560.85</v>
      </c>
      <c r="S53" s="37"/>
      <c r="U53" s="39" t="n">
        <f aca="false">ROUND(H53*100/P53-100,0)</f>
        <v>6</v>
      </c>
      <c r="V53" s="39" t="n">
        <f aca="false">ROUND(K53*100/P53-100,0)</f>
        <v>2</v>
      </c>
      <c r="W53" s="39" t="n">
        <f aca="false">ROUND(N53*100/P53-100,0)</f>
        <v>-8</v>
      </c>
      <c r="X53" s="85" t="n">
        <f aca="false">P53/1.2</f>
        <v>426.81</v>
      </c>
      <c r="Y53" s="85" t="n">
        <f aca="false">P53*1.2</f>
        <v>614.6</v>
      </c>
      <c r="Z53" s="86" t="n">
        <f aca="false">AND((H53)&gt;=MIN(X53),(H53)&lt;=MAX(Y53))</f>
        <v>1</v>
      </c>
      <c r="AA53" s="86" t="n">
        <f aca="false">AND((K53)&gt;=MIN(X53),(K53)&lt;=MAX(Y53))</f>
        <v>1</v>
      </c>
      <c r="AB53" s="86" t="n">
        <f aca="false">AND((N53)&gt;=MIN(X53),(N53)&lt;=MAX(Y53))</f>
        <v>1</v>
      </c>
      <c r="AC53" s="95" t="s">
        <v>771</v>
      </c>
      <c r="AD53" s="88" t="n">
        <f aca="false">620/1.2*1.042</f>
        <v>538.37</v>
      </c>
      <c r="AE53" s="88" t="n">
        <f aca="false">AD53*E53</f>
        <v>2691.85</v>
      </c>
      <c r="AF53" s="95" t="s">
        <v>772</v>
      </c>
      <c r="AG53" s="88" t="n">
        <f aca="false">596/1.2*1.042</f>
        <v>517.53</v>
      </c>
      <c r="AH53" s="89" t="n">
        <f aca="false">AG53*E53</f>
        <v>2587.65</v>
      </c>
      <c r="AI53" s="95" t="s">
        <v>771</v>
      </c>
      <c r="AJ53" s="88" t="n">
        <f aca="false">620/1.2*1.042</f>
        <v>538.37</v>
      </c>
      <c r="AK53" s="89" t="n">
        <f aca="false">AJ53*E53</f>
        <v>2691.85</v>
      </c>
      <c r="AL53" s="91" t="n">
        <f aca="false">AVERAGE(AD53,AG53,AJ53)</f>
        <v>531.42</v>
      </c>
      <c r="AM53" s="91" t="n">
        <f aca="false">((F53-AL53)/AL53)*100</f>
        <v>-3.62</v>
      </c>
      <c r="AN53" s="92" t="n">
        <f aca="false">AL53/1.2</f>
        <v>442.85</v>
      </c>
      <c r="AO53" s="92" t="n">
        <f aca="false">AL53*1.2</f>
        <v>637.7</v>
      </c>
      <c r="AP53" s="86" t="n">
        <f aca="false">AND((AD53)&gt;=MIN(AN53),(AD53)&lt;=MAX(AO53))</f>
        <v>1</v>
      </c>
      <c r="AQ53" s="86" t="n">
        <f aca="false">AND((AG53)&gt;=MIN(AN53),(AG53)&lt;=MAX(AO53))</f>
        <v>1</v>
      </c>
      <c r="AR53" s="86" t="n">
        <f aca="false">AND((AJ53)&gt;=MIN(AN53),(AJ53)&lt;=MAX(AO53))</f>
        <v>1</v>
      </c>
    </row>
    <row r="54" s="38" customFormat="true" ht="59.25" hidden="false" customHeight="true" outlineLevel="0" collapsed="false">
      <c r="A54" s="28" t="n">
        <v>44</v>
      </c>
      <c r="B54" s="84" t="s">
        <v>773</v>
      </c>
      <c r="C54" s="43" t="s">
        <v>183</v>
      </c>
      <c r="D54" s="44" t="s">
        <v>143</v>
      </c>
      <c r="E54" s="45" t="n">
        <v>4</v>
      </c>
      <c r="F54" s="32" t="n">
        <f aca="false">P54</f>
        <v>980.31</v>
      </c>
      <c r="G54" s="42" t="s">
        <v>184</v>
      </c>
      <c r="H54" s="34" t="n">
        <f aca="false">1176/1.2*1.05</f>
        <v>1029</v>
      </c>
      <c r="I54" s="34" t="n">
        <f aca="false">E54*H54</f>
        <v>4116</v>
      </c>
      <c r="J54" s="42" t="s">
        <v>185</v>
      </c>
      <c r="K54" s="34" t="n">
        <f aca="false">1176/1.2*1.05</f>
        <v>1029</v>
      </c>
      <c r="L54" s="34" t="n">
        <f aca="false">E54*K54</f>
        <v>4116</v>
      </c>
      <c r="M54" s="42" t="s">
        <v>186</v>
      </c>
      <c r="N54" s="34" t="n">
        <f aca="false">1009.05/1.2*1.05</f>
        <v>882.92</v>
      </c>
      <c r="O54" s="34" t="n">
        <f aca="false">E54*N54</f>
        <v>3531.68</v>
      </c>
      <c r="P54" s="35" t="n">
        <f aca="false">AVERAGE(H54,K54,N54)</f>
        <v>980.31</v>
      </c>
      <c r="Q54" s="36" t="n">
        <f aca="false">F54*100/P54-100</f>
        <v>0</v>
      </c>
      <c r="R54" s="35" t="n">
        <f aca="false">P54*E54</f>
        <v>3921.24</v>
      </c>
      <c r="S54" s="37"/>
      <c r="U54" s="39" t="n">
        <f aca="false">ROUND(H54*100/P54-100,0)</f>
        <v>5</v>
      </c>
      <c r="V54" s="39" t="n">
        <f aca="false">ROUND(K54*100/P54-100,0)</f>
        <v>5</v>
      </c>
      <c r="W54" s="39" t="n">
        <f aca="false">ROUND(N54*100/P54-100,0)</f>
        <v>-10</v>
      </c>
      <c r="X54" s="85" t="n">
        <f aca="false">P54/1.2</f>
        <v>816.93</v>
      </c>
      <c r="Y54" s="85" t="n">
        <f aca="false">P54*1.2</f>
        <v>1176.37</v>
      </c>
      <c r="Z54" s="86" t="n">
        <f aca="false">AND((H54)&gt;=MIN(X54),(H54)&lt;=MAX(Y54))</f>
        <v>1</v>
      </c>
      <c r="AA54" s="86" t="n">
        <f aca="false">AND((K54)&gt;=MIN(X54),(K54)&lt;=MAX(Y54))</f>
        <v>1</v>
      </c>
      <c r="AB54" s="86" t="n">
        <f aca="false">AND((N54)&gt;=MIN(X54),(N54)&lt;=MAX(Y54))</f>
        <v>1</v>
      </c>
      <c r="AC54" s="95" t="s">
        <v>774</v>
      </c>
      <c r="AD54" s="88" t="n">
        <f aca="false">854/1.2*1.042</f>
        <v>741.56</v>
      </c>
      <c r="AE54" s="88" t="n">
        <f aca="false">AD54*E54</f>
        <v>2966.24</v>
      </c>
      <c r="AF54" s="95" t="s">
        <v>775</v>
      </c>
      <c r="AG54" s="88" t="n">
        <f aca="false">1083/1.2*1.042</f>
        <v>940.41</v>
      </c>
      <c r="AH54" s="89" t="n">
        <f aca="false">AG54*E54</f>
        <v>3761.64</v>
      </c>
      <c r="AI54" s="95" t="s">
        <v>776</v>
      </c>
      <c r="AJ54" s="88" t="n">
        <f aca="false">910/1.2*1.042</f>
        <v>790.18</v>
      </c>
      <c r="AK54" s="89" t="n">
        <f aca="false">AJ54*E54</f>
        <v>3160.72</v>
      </c>
      <c r="AL54" s="91" t="n">
        <f aca="false">AVERAGE(AD54,AG54,AJ54)</f>
        <v>824.05</v>
      </c>
      <c r="AM54" s="91" t="n">
        <f aca="false">((F54-AL54)/AL54)*100</f>
        <v>18.96</v>
      </c>
      <c r="AN54" s="92" t="n">
        <f aca="false">AL54/1.2</f>
        <v>686.71</v>
      </c>
      <c r="AO54" s="92" t="n">
        <f aca="false">AL54*1.2</f>
        <v>988.86</v>
      </c>
      <c r="AP54" s="86" t="n">
        <f aca="false">AND((AD54)&gt;=MIN(AN54),(AD54)&lt;=MAX(AO54))</f>
        <v>1</v>
      </c>
      <c r="AQ54" s="86" t="n">
        <f aca="false">AND((AG54)&gt;=MIN(AN54),(AG54)&lt;=MAX(AO54))</f>
        <v>1</v>
      </c>
      <c r="AR54" s="86" t="n">
        <f aca="false">AND((AJ54)&gt;=MIN(AN54),(AJ54)&lt;=MAX(AO54))</f>
        <v>1</v>
      </c>
    </row>
    <row r="55" s="38" customFormat="true" ht="66.75" hidden="false" customHeight="true" outlineLevel="0" collapsed="false">
      <c r="A55" s="28" t="n">
        <v>45</v>
      </c>
      <c r="B55" s="84" t="s">
        <v>777</v>
      </c>
      <c r="C55" s="43" t="s">
        <v>778</v>
      </c>
      <c r="D55" s="44" t="s">
        <v>143</v>
      </c>
      <c r="E55" s="45" t="n">
        <v>2</v>
      </c>
      <c r="F55" s="32" t="n">
        <f aca="false">P55</f>
        <v>2398.75</v>
      </c>
      <c r="G55" s="42" t="s">
        <v>188</v>
      </c>
      <c r="H55" s="34" t="n">
        <f aca="false">2613.6/1.2*1.05</f>
        <v>2286.9</v>
      </c>
      <c r="I55" s="34" t="n">
        <f aca="false">E55*H55</f>
        <v>4573.8</v>
      </c>
      <c r="J55" s="42" t="s">
        <v>189</v>
      </c>
      <c r="K55" s="34" t="n">
        <f aca="false">2925.67/1.2*1.05</f>
        <v>2559.96</v>
      </c>
      <c r="L55" s="34" t="n">
        <f aca="false">E55*K55</f>
        <v>5119.92</v>
      </c>
      <c r="M55" s="42" t="s">
        <v>190</v>
      </c>
      <c r="N55" s="34" t="n">
        <f aca="false">2685/1.2*1.05</f>
        <v>2349.38</v>
      </c>
      <c r="O55" s="34" t="n">
        <f aca="false">E55*N55</f>
        <v>4698.76</v>
      </c>
      <c r="P55" s="35" t="n">
        <f aca="false">AVERAGE(H55,K55,N55)</f>
        <v>2398.75</v>
      </c>
      <c r="Q55" s="36" t="n">
        <f aca="false">F55*100/P55-100</f>
        <v>0</v>
      </c>
      <c r="R55" s="35" t="n">
        <f aca="false">P55*E55</f>
        <v>4797.5</v>
      </c>
      <c r="S55" s="37"/>
      <c r="U55" s="39" t="n">
        <f aca="false">ROUND(H55*100/P55-100,0)</f>
        <v>-5</v>
      </c>
      <c r="V55" s="39" t="n">
        <f aca="false">ROUND(K55*100/P55-100,0)</f>
        <v>7</v>
      </c>
      <c r="W55" s="39" t="n">
        <f aca="false">ROUND(N55*100/P55-100,0)</f>
        <v>-2</v>
      </c>
      <c r="X55" s="85" t="n">
        <f aca="false">P55/1.2</f>
        <v>1998.96</v>
      </c>
      <c r="Y55" s="85" t="n">
        <f aca="false">P55*1.2</f>
        <v>2878.5</v>
      </c>
      <c r="Z55" s="86" t="n">
        <f aca="false">AND((H55)&gt;=MIN(X55),(H55)&lt;=MAX(Y55))</f>
        <v>1</v>
      </c>
      <c r="AA55" s="86" t="n">
        <f aca="false">AND((K55)&gt;=MIN(X55),(K55)&lt;=MAX(Y55))</f>
        <v>1</v>
      </c>
      <c r="AB55" s="86" t="n">
        <f aca="false">AND((N55)&gt;=MIN(X55),(N55)&lt;=MAX(Y55))</f>
        <v>1</v>
      </c>
      <c r="AC55" s="95" t="s">
        <v>779</v>
      </c>
      <c r="AD55" s="88" t="n">
        <f aca="false">2925.67/1.2*1.042</f>
        <v>2540.46</v>
      </c>
      <c r="AE55" s="88" t="n">
        <f aca="false">AD55*E55</f>
        <v>5080.92</v>
      </c>
      <c r="AF55" s="95" t="s">
        <v>780</v>
      </c>
      <c r="AG55" s="88" t="n">
        <f aca="false">3600/1.2*1.042</f>
        <v>3126</v>
      </c>
      <c r="AH55" s="89" t="n">
        <f aca="false">AG55*E55</f>
        <v>6252</v>
      </c>
      <c r="AI55" s="95" t="s">
        <v>781</v>
      </c>
      <c r="AJ55" s="88" t="n">
        <f aca="false">2686/1.2*1.042</f>
        <v>2332.34</v>
      </c>
      <c r="AK55" s="89" t="n">
        <f aca="false">AJ55*E55</f>
        <v>4664.68</v>
      </c>
      <c r="AL55" s="91" t="n">
        <f aca="false">AVERAGE(AD55,AG55,AJ55)</f>
        <v>2666.27</v>
      </c>
      <c r="AM55" s="91" t="n">
        <f aca="false">((F55-AL55)/AL55)*100</f>
        <v>-10.03</v>
      </c>
      <c r="AN55" s="92" t="n">
        <f aca="false">AL55/1.2</f>
        <v>2221.89</v>
      </c>
      <c r="AO55" s="92" t="n">
        <f aca="false">AL55*1.2</f>
        <v>3199.52</v>
      </c>
      <c r="AP55" s="86" t="n">
        <f aca="false">AND((AD55)&gt;=MIN(AN55),(AD55)&lt;=MAX(AO55))</f>
        <v>1</v>
      </c>
      <c r="AQ55" s="86" t="n">
        <f aca="false">AND((AG55)&gt;=MIN(AN55),(AG55)&lt;=MAX(AO55))</f>
        <v>1</v>
      </c>
      <c r="AR55" s="86" t="n">
        <f aca="false">AND((AJ55)&gt;=MIN(AN55),(AJ55)&lt;=MAX(AO55))</f>
        <v>1</v>
      </c>
    </row>
    <row r="56" s="38" customFormat="true" ht="67.5" hidden="false" customHeight="true" outlineLevel="0" collapsed="false">
      <c r="A56" s="28" t="n">
        <v>46</v>
      </c>
      <c r="B56" s="84" t="s">
        <v>769</v>
      </c>
      <c r="C56" s="43" t="s">
        <v>782</v>
      </c>
      <c r="D56" s="44" t="s">
        <v>143</v>
      </c>
      <c r="E56" s="45" t="n">
        <v>1</v>
      </c>
      <c r="F56" s="32" t="n">
        <f aca="false">P56</f>
        <v>2785.61</v>
      </c>
      <c r="G56" s="42" t="s">
        <v>192</v>
      </c>
      <c r="H56" s="34" t="n">
        <f aca="false">3600/1.2*1.05</f>
        <v>3150</v>
      </c>
      <c r="I56" s="34" t="n">
        <f aca="false">E56*H56</f>
        <v>3150</v>
      </c>
      <c r="J56" s="42" t="s">
        <v>189</v>
      </c>
      <c r="K56" s="34" t="n">
        <f aca="false">2925.67/1.2*1.05</f>
        <v>2559.96</v>
      </c>
      <c r="L56" s="34" t="n">
        <f aca="false">E56*K56</f>
        <v>2559.96</v>
      </c>
      <c r="M56" s="42" t="s">
        <v>193</v>
      </c>
      <c r="N56" s="34" t="n">
        <f aca="false">3025/1.2*1.05</f>
        <v>2646.88</v>
      </c>
      <c r="O56" s="34" t="n">
        <f aca="false">E56*N56</f>
        <v>2646.88</v>
      </c>
      <c r="P56" s="35" t="n">
        <f aca="false">AVERAGE(H56,K56,N56)</f>
        <v>2785.61</v>
      </c>
      <c r="Q56" s="36" t="n">
        <f aca="false">F56*100/P56-100</f>
        <v>0</v>
      </c>
      <c r="R56" s="35" t="n">
        <f aca="false">P56*E56</f>
        <v>2785.61</v>
      </c>
      <c r="S56" s="37"/>
      <c r="U56" s="39" t="n">
        <f aca="false">ROUND(H56*100/P56-100,0)</f>
        <v>13</v>
      </c>
      <c r="V56" s="39" t="n">
        <f aca="false">ROUND(K56*100/P56-100,0)</f>
        <v>-8</v>
      </c>
      <c r="W56" s="39" t="n">
        <f aca="false">ROUND(N56*100/P56-100,0)</f>
        <v>-5</v>
      </c>
      <c r="X56" s="85" t="n">
        <f aca="false">P56/1.2</f>
        <v>2321.34</v>
      </c>
      <c r="Y56" s="85" t="n">
        <f aca="false">P56*1.2</f>
        <v>3342.73</v>
      </c>
      <c r="Z56" s="86" t="n">
        <f aca="false">AND((H56)&gt;=MIN(X56),(H56)&lt;=MAX(Y56))</f>
        <v>1</v>
      </c>
      <c r="AA56" s="86" t="n">
        <f aca="false">AND((K56)&gt;=MIN(X56),(K56)&lt;=MAX(Y56))</f>
        <v>1</v>
      </c>
      <c r="AB56" s="86" t="n">
        <f aca="false">AND((N56)&gt;=MIN(X56),(N56)&lt;=MAX(Y56))</f>
        <v>1</v>
      </c>
      <c r="AC56" s="95" t="s">
        <v>783</v>
      </c>
      <c r="AD56" s="88" t="n">
        <f aca="false">2925.67/1.2*1.042</f>
        <v>2540.46</v>
      </c>
      <c r="AE56" s="88" t="n">
        <f aca="false">AD56*E56</f>
        <v>2540.46</v>
      </c>
      <c r="AF56" s="95" t="s">
        <v>784</v>
      </c>
      <c r="AG56" s="88" t="n">
        <f aca="false">4200/1.2*1.042</f>
        <v>3647</v>
      </c>
      <c r="AH56" s="89" t="n">
        <f aca="false">AG56*E56</f>
        <v>3647</v>
      </c>
      <c r="AI56" s="95" t="s">
        <v>190</v>
      </c>
      <c r="AJ56" s="88" t="n">
        <f aca="false">2685/1.2*1.042</f>
        <v>2331.48</v>
      </c>
      <c r="AK56" s="89" t="n">
        <f aca="false">AJ56*E56</f>
        <v>2331.48</v>
      </c>
      <c r="AL56" s="91" t="n">
        <f aca="false">AVERAGE(AD56,AG56,AJ56)</f>
        <v>2839.65</v>
      </c>
      <c r="AM56" s="91" t="n">
        <f aca="false">((F56-AL56)/AL56)*100</f>
        <v>-1.9</v>
      </c>
      <c r="AN56" s="92" t="n">
        <f aca="false">AL56/1.2</f>
        <v>2366.38</v>
      </c>
      <c r="AO56" s="92" t="n">
        <f aca="false">AL56*1.2</f>
        <v>3407.58</v>
      </c>
      <c r="AP56" s="86" t="n">
        <f aca="false">AND((AD56)&gt;=MIN(AN56),(AD56)&lt;=MAX(AO56))</f>
        <v>1</v>
      </c>
      <c r="AQ56" s="86" t="n">
        <f aca="false">AND((AG56)&gt;=MIN(AN56),(AG56)&lt;=MAX(AO56))</f>
        <v>0</v>
      </c>
      <c r="AR56" s="86" t="n">
        <f aca="false">AND((AJ56)&gt;=MIN(AN56),(AJ56)&lt;=MAX(AO56))</f>
        <v>0</v>
      </c>
    </row>
    <row r="57" s="38" customFormat="true" ht="135" hidden="false" customHeight="true" outlineLevel="0" collapsed="false">
      <c r="A57" s="28" t="n">
        <v>47</v>
      </c>
      <c r="B57" s="84" t="s">
        <v>769</v>
      </c>
      <c r="C57" s="43" t="s">
        <v>785</v>
      </c>
      <c r="D57" s="44" t="s">
        <v>143</v>
      </c>
      <c r="E57" s="45" t="n">
        <v>1</v>
      </c>
      <c r="F57" s="32" t="n">
        <f aca="false">P57</f>
        <v>2870.58</v>
      </c>
      <c r="G57" s="42" t="s">
        <v>195</v>
      </c>
      <c r="H57" s="34" t="n">
        <f aca="false">3600/1.2*1.05</f>
        <v>3150</v>
      </c>
      <c r="I57" s="34" t="n">
        <f aca="false">E57*H57</f>
        <v>3150</v>
      </c>
      <c r="J57" s="42" t="s">
        <v>196</v>
      </c>
      <c r="K57" s="34" t="n">
        <f aca="false">3218/1.2*1.05</f>
        <v>2815.75</v>
      </c>
      <c r="L57" s="34" t="n">
        <f aca="false">E57*K57</f>
        <v>2815.75</v>
      </c>
      <c r="M57" s="42" t="s">
        <v>197</v>
      </c>
      <c r="N57" s="34" t="n">
        <f aca="false">3024/1.2*1.05</f>
        <v>2646</v>
      </c>
      <c r="O57" s="34" t="n">
        <f aca="false">E57*N57</f>
        <v>2646</v>
      </c>
      <c r="P57" s="35" t="n">
        <f aca="false">AVERAGE(H57,K57,N57)</f>
        <v>2870.58</v>
      </c>
      <c r="Q57" s="36" t="n">
        <f aca="false">F57*100/P57-100</f>
        <v>0</v>
      </c>
      <c r="R57" s="35" t="n">
        <f aca="false">P57*E57</f>
        <v>2870.58</v>
      </c>
      <c r="S57" s="37"/>
      <c r="U57" s="39" t="n">
        <f aca="false">ROUND(H57*100/P57-100,0)</f>
        <v>10</v>
      </c>
      <c r="V57" s="39" t="n">
        <f aca="false">ROUND(K57*100/P57-100,0)</f>
        <v>-2</v>
      </c>
      <c r="W57" s="39" t="n">
        <f aca="false">ROUND(N57*100/P57-100,0)</f>
        <v>-8</v>
      </c>
      <c r="X57" s="85" t="n">
        <f aca="false">P57/1.2</f>
        <v>2392.15</v>
      </c>
      <c r="Y57" s="85" t="n">
        <f aca="false">P57*1.2</f>
        <v>3444.7</v>
      </c>
      <c r="Z57" s="86" t="n">
        <f aca="false">AND((H57)&gt;=MIN(X57),(H57)&lt;=MAX(Y57))</f>
        <v>1</v>
      </c>
      <c r="AA57" s="86" t="n">
        <f aca="false">AND((K57)&gt;=MIN(X57),(K57)&lt;=MAX(Y57))</f>
        <v>1</v>
      </c>
      <c r="AB57" s="86" t="n">
        <f aca="false">AND((N57)&gt;=MIN(X57),(N57)&lt;=MAX(Y57))</f>
        <v>1</v>
      </c>
      <c r="AC57" s="95" t="s">
        <v>786</v>
      </c>
      <c r="AD57" s="88" t="n">
        <f aca="false">2925.67/1.2*1.042</f>
        <v>2540.46</v>
      </c>
      <c r="AE57" s="88" t="n">
        <f aca="false">AD57*E57</f>
        <v>2540.46</v>
      </c>
      <c r="AF57" s="95" t="s">
        <v>787</v>
      </c>
      <c r="AG57" s="88" t="n">
        <f aca="false">3600/1.2*1.042</f>
        <v>3126</v>
      </c>
      <c r="AH57" s="89" t="n">
        <f aca="false">AG57*E57</f>
        <v>3126</v>
      </c>
      <c r="AI57" s="95" t="s">
        <v>788</v>
      </c>
      <c r="AJ57" s="88" t="n">
        <f aca="false">2784/1.2*1.042</f>
        <v>2417.44</v>
      </c>
      <c r="AK57" s="89" t="n">
        <f aca="false">AJ57*E57</f>
        <v>2417.44</v>
      </c>
      <c r="AL57" s="91" t="n">
        <f aca="false">AVERAGE(AD57,AG57,AJ57)</f>
        <v>2694.63</v>
      </c>
      <c r="AM57" s="91" t="n">
        <f aca="false">((F57-AL57)/AL57)*100</f>
        <v>6.53</v>
      </c>
      <c r="AN57" s="92" t="n">
        <f aca="false">AL57/1.2</f>
        <v>2245.53</v>
      </c>
      <c r="AO57" s="92" t="n">
        <f aca="false">AL57*1.2</f>
        <v>3233.56</v>
      </c>
      <c r="AP57" s="86" t="n">
        <f aca="false">AND((AD57)&gt;=MIN(AN57),(AD57)&lt;=MAX(AO57))</f>
        <v>1</v>
      </c>
      <c r="AQ57" s="86" t="n">
        <f aca="false">AND((AG57)&gt;=MIN(AN57),(AG57)&lt;=MAX(AO57))</f>
        <v>1</v>
      </c>
      <c r="AR57" s="86" t="n">
        <f aca="false">AND((AJ57)&gt;=MIN(AN57),(AJ57)&lt;=MAX(AO57))</f>
        <v>1</v>
      </c>
    </row>
    <row r="58" s="38" customFormat="true" ht="180" hidden="false" customHeight="true" outlineLevel="0" collapsed="false">
      <c r="A58" s="28" t="n">
        <v>48</v>
      </c>
      <c r="B58" s="84" t="s">
        <v>769</v>
      </c>
      <c r="C58" s="43" t="s">
        <v>198</v>
      </c>
      <c r="D58" s="44" t="s">
        <v>143</v>
      </c>
      <c r="E58" s="45" t="n">
        <v>1</v>
      </c>
      <c r="F58" s="32" t="n">
        <f aca="false">P58</f>
        <v>2842.38</v>
      </c>
      <c r="G58" s="49" t="s">
        <v>195</v>
      </c>
      <c r="H58" s="34" t="n">
        <f aca="false">3600/1.2*1.05</f>
        <v>3150</v>
      </c>
      <c r="I58" s="34" t="n">
        <f aca="false">E58*H58</f>
        <v>3150</v>
      </c>
      <c r="J58" s="42" t="s">
        <v>199</v>
      </c>
      <c r="K58" s="34" t="n">
        <f aca="false">2814/1.2*1.05</f>
        <v>2462.25</v>
      </c>
      <c r="L58" s="34" t="n">
        <f aca="false">E58*K58</f>
        <v>2462.25</v>
      </c>
      <c r="M58" s="40" t="s">
        <v>200</v>
      </c>
      <c r="N58" s="34" t="n">
        <f aca="false">3331.3/1.2*1.05</f>
        <v>2914.89</v>
      </c>
      <c r="O58" s="34" t="n">
        <f aca="false">E58*N58</f>
        <v>2914.89</v>
      </c>
      <c r="P58" s="35" t="n">
        <f aca="false">AVERAGE(H58,K58,N58)</f>
        <v>2842.38</v>
      </c>
      <c r="Q58" s="36" t="n">
        <f aca="false">F58*100/P58-100</f>
        <v>0</v>
      </c>
      <c r="R58" s="35" t="n">
        <f aca="false">P58*E58</f>
        <v>2842.38</v>
      </c>
      <c r="S58" s="37"/>
      <c r="U58" s="39" t="n">
        <f aca="false">ROUND(H58*100/P58-100,0)</f>
        <v>11</v>
      </c>
      <c r="V58" s="39" t="n">
        <f aca="false">ROUND(K58*100/P58-100,0)</f>
        <v>-13</v>
      </c>
      <c r="W58" s="39" t="n">
        <f aca="false">ROUND(N58*100/P58-100,0)</f>
        <v>3</v>
      </c>
      <c r="X58" s="85" t="n">
        <f aca="false">P58/1.2</f>
        <v>2368.65</v>
      </c>
      <c r="Y58" s="85" t="n">
        <f aca="false">P58*1.2</f>
        <v>3410.86</v>
      </c>
      <c r="Z58" s="86" t="n">
        <f aca="false">AND((H58)&gt;=MIN(X58),(H58)&lt;=MAX(Y58))</f>
        <v>1</v>
      </c>
      <c r="AA58" s="86" t="n">
        <f aca="false">AND((K58)&gt;=MIN(X58),(K58)&lt;=MAX(Y58))</f>
        <v>1</v>
      </c>
      <c r="AB58" s="86" t="n">
        <f aca="false">AND((N58)&gt;=MIN(X58),(N58)&lt;=MAX(Y58))</f>
        <v>1</v>
      </c>
      <c r="AC58" s="95" t="s">
        <v>789</v>
      </c>
      <c r="AD58" s="88" t="n">
        <f aca="false">2771/1.2*1.042</f>
        <v>2406.15</v>
      </c>
      <c r="AE58" s="88" t="n">
        <f aca="false">AD58*E58</f>
        <v>2406.15</v>
      </c>
      <c r="AF58" s="95" t="s">
        <v>790</v>
      </c>
      <c r="AG58" s="88" t="n">
        <f aca="false">3331.3/1.2*1.042</f>
        <v>2892.68</v>
      </c>
      <c r="AH58" s="89" t="n">
        <f aca="false">AG58*E58</f>
        <v>2892.68</v>
      </c>
      <c r="AI58" s="95" t="s">
        <v>791</v>
      </c>
      <c r="AJ58" s="88" t="n">
        <f aca="false">2685/1.2*1.042</f>
        <v>2331.48</v>
      </c>
      <c r="AK58" s="89" t="n">
        <f aca="false">AJ58*E58</f>
        <v>2331.48</v>
      </c>
      <c r="AL58" s="91" t="n">
        <f aca="false">AVERAGE(AD58,AG58,AJ58)</f>
        <v>2543.44</v>
      </c>
      <c r="AM58" s="91" t="n">
        <f aca="false">((F58-AL58)/AL58)*100</f>
        <v>11.75</v>
      </c>
      <c r="AN58" s="92" t="n">
        <f aca="false">AL58/1.2</f>
        <v>2119.53</v>
      </c>
      <c r="AO58" s="92" t="n">
        <f aca="false">AL58*1.2</f>
        <v>3052.13</v>
      </c>
      <c r="AP58" s="86" t="n">
        <f aca="false">AND((AD58)&gt;=MIN(AN58),(AD58)&lt;=MAX(AO58))</f>
        <v>1</v>
      </c>
      <c r="AQ58" s="86" t="n">
        <f aca="false">AND((AG58)&gt;=MIN(AN58),(AG58)&lt;=MAX(AO58))</f>
        <v>1</v>
      </c>
      <c r="AR58" s="86" t="n">
        <f aca="false">AND((AJ58)&gt;=MIN(AN58),(AJ58)&lt;=MAX(AO58))</f>
        <v>1</v>
      </c>
    </row>
    <row r="59" s="38" customFormat="true" ht="98.25" hidden="false" customHeight="true" outlineLevel="0" collapsed="false">
      <c r="A59" s="28" t="n">
        <v>49</v>
      </c>
      <c r="B59" s="84" t="s">
        <v>769</v>
      </c>
      <c r="C59" s="43" t="s">
        <v>201</v>
      </c>
      <c r="D59" s="44" t="s">
        <v>143</v>
      </c>
      <c r="E59" s="45" t="n">
        <v>2</v>
      </c>
      <c r="F59" s="32" t="n">
        <f aca="false">P59</f>
        <v>2982</v>
      </c>
      <c r="G59" s="42" t="s">
        <v>197</v>
      </c>
      <c r="H59" s="34" t="n">
        <f aca="false">3024/1.2*1.05</f>
        <v>2646</v>
      </c>
      <c r="I59" s="34" t="n">
        <f aca="false">E59*H59</f>
        <v>5292</v>
      </c>
      <c r="J59" s="42" t="s">
        <v>202</v>
      </c>
      <c r="K59" s="34" t="n">
        <f aca="false">3600/1.2*1.05</f>
        <v>3150</v>
      </c>
      <c r="L59" s="34" t="n">
        <f aca="false">E59*K59</f>
        <v>6300</v>
      </c>
      <c r="M59" s="49" t="s">
        <v>203</v>
      </c>
      <c r="N59" s="34" t="n">
        <f aca="false">3600/1.2*1.05</f>
        <v>3150</v>
      </c>
      <c r="O59" s="34" t="n">
        <f aca="false">E59*N59</f>
        <v>6300</v>
      </c>
      <c r="P59" s="35" t="n">
        <f aca="false">AVERAGE(H59,K59,N59)</f>
        <v>2982</v>
      </c>
      <c r="Q59" s="36" t="n">
        <f aca="false">F59*100/P59-100</f>
        <v>0</v>
      </c>
      <c r="R59" s="35" t="n">
        <f aca="false">P59*E59</f>
        <v>5964</v>
      </c>
      <c r="S59" s="37"/>
      <c r="U59" s="39" t="n">
        <f aca="false">ROUND(H59*100/P59-100,0)</f>
        <v>-11</v>
      </c>
      <c r="V59" s="39" t="n">
        <f aca="false">ROUND(K59*100/P59-100,0)</f>
        <v>6</v>
      </c>
      <c r="W59" s="39" t="n">
        <f aca="false">ROUND(N59*100/P59-100,0)</f>
        <v>6</v>
      </c>
      <c r="X59" s="85" t="n">
        <f aca="false">P59/1.2</f>
        <v>2485</v>
      </c>
      <c r="Y59" s="85" t="n">
        <f aca="false">P59*1.2</f>
        <v>3578.4</v>
      </c>
      <c r="Z59" s="86" t="n">
        <f aca="false">AND((H59)&gt;=MIN(X59),(H59)&lt;=MAX(Y59))</f>
        <v>1</v>
      </c>
      <c r="AA59" s="86" t="n">
        <f aca="false">AND((K59)&gt;=MIN(X59),(K59)&lt;=MAX(Y59))</f>
        <v>1</v>
      </c>
      <c r="AB59" s="86" t="n">
        <f aca="false">AND((N59)&gt;=MIN(X59),(N59)&lt;=MAX(Y59))</f>
        <v>1</v>
      </c>
      <c r="AC59" s="95" t="s">
        <v>792</v>
      </c>
      <c r="AD59" s="88" t="n">
        <f aca="false">2925.67/1.2*1.042</f>
        <v>2540.46</v>
      </c>
      <c r="AE59" s="88" t="n">
        <f aca="false">AD59*E59</f>
        <v>5080.92</v>
      </c>
      <c r="AF59" s="95" t="s">
        <v>793</v>
      </c>
      <c r="AG59" s="88" t="n">
        <f aca="false">3331.3/1.2*1.042</f>
        <v>2892.68</v>
      </c>
      <c r="AH59" s="89" t="n">
        <f aca="false">AG59*E59</f>
        <v>5785.36</v>
      </c>
      <c r="AI59" s="95" t="s">
        <v>794</v>
      </c>
      <c r="AJ59" s="88" t="n">
        <f aca="false">3600/1.2*1.042</f>
        <v>3126</v>
      </c>
      <c r="AK59" s="89" t="n">
        <f aca="false">AJ59*E59</f>
        <v>6252</v>
      </c>
      <c r="AL59" s="91" t="n">
        <f aca="false">AVERAGE(AD59,AG59,AJ59)</f>
        <v>2853.05</v>
      </c>
      <c r="AM59" s="91" t="n">
        <f aca="false">((F59-AL59)/AL59)*100</f>
        <v>4.52</v>
      </c>
      <c r="AN59" s="92" t="n">
        <f aca="false">AL59/1.2</f>
        <v>2377.54</v>
      </c>
      <c r="AO59" s="92" t="n">
        <f aca="false">AL59*1.2</f>
        <v>3423.66</v>
      </c>
      <c r="AP59" s="86" t="n">
        <f aca="false">AND((AD59)&gt;=MIN(AN59),(AD59)&lt;=MAX(AO59))</f>
        <v>1</v>
      </c>
      <c r="AQ59" s="86" t="n">
        <f aca="false">AND((AG59)&gt;=MIN(AN59),(AG59)&lt;=MAX(AO59))</f>
        <v>1</v>
      </c>
      <c r="AR59" s="86" t="n">
        <f aca="false">AND((AJ59)&gt;=MIN(AN59),(AJ59)&lt;=MAX(AO59))</f>
        <v>1</v>
      </c>
    </row>
    <row r="60" s="38" customFormat="true" ht="90" hidden="false" customHeight="true" outlineLevel="0" collapsed="false">
      <c r="A60" s="28" t="n">
        <v>50</v>
      </c>
      <c r="B60" s="84" t="s">
        <v>795</v>
      </c>
      <c r="C60" s="43" t="s">
        <v>204</v>
      </c>
      <c r="D60" s="44" t="s">
        <v>143</v>
      </c>
      <c r="E60" s="45" t="n">
        <v>2</v>
      </c>
      <c r="F60" s="32" t="n">
        <f aca="false">P60</f>
        <v>3023.86</v>
      </c>
      <c r="G60" s="42" t="s">
        <v>197</v>
      </c>
      <c r="H60" s="34" t="n">
        <f aca="false">3024/1.2*1.05</f>
        <v>2646</v>
      </c>
      <c r="I60" s="34" t="n">
        <f aca="false">E60*H60</f>
        <v>5292</v>
      </c>
      <c r="J60" s="42" t="s">
        <v>205</v>
      </c>
      <c r="K60" s="34" t="n">
        <f aca="false">3370.5/1.2*1.05</f>
        <v>2949.19</v>
      </c>
      <c r="L60" s="34" t="n">
        <f aca="false">E60*K60</f>
        <v>5898.38</v>
      </c>
      <c r="M60" s="42" t="s">
        <v>206</v>
      </c>
      <c r="N60" s="34" t="n">
        <f aca="false">3973/1.2*1.05</f>
        <v>3476.38</v>
      </c>
      <c r="O60" s="34" t="n">
        <f aca="false">E60*N60</f>
        <v>6952.76</v>
      </c>
      <c r="P60" s="35" t="n">
        <f aca="false">AVERAGE(H60,K60,N60)</f>
        <v>3023.86</v>
      </c>
      <c r="Q60" s="36" t="n">
        <f aca="false">F60*100/P60-100</f>
        <v>0</v>
      </c>
      <c r="R60" s="35" t="n">
        <f aca="false">P60*E60</f>
        <v>6047.72</v>
      </c>
      <c r="S60" s="37"/>
      <c r="U60" s="39" t="n">
        <f aca="false">ROUND(H60*100/P60-100,0)</f>
        <v>-12</v>
      </c>
      <c r="V60" s="39" t="n">
        <f aca="false">ROUND(K60*100/P60-100,0)</f>
        <v>-2</v>
      </c>
      <c r="W60" s="39" t="n">
        <f aca="false">ROUND(N60*100/P60-100,0)</f>
        <v>15</v>
      </c>
      <c r="X60" s="85" t="n">
        <f aca="false">P60/1.2</f>
        <v>2519.88</v>
      </c>
      <c r="Y60" s="85" t="n">
        <f aca="false">P60*1.2</f>
        <v>3628.63</v>
      </c>
      <c r="Z60" s="86" t="n">
        <f aca="false">AND((H60)&gt;=MIN(X60),(H60)&lt;=MAX(Y60))</f>
        <v>1</v>
      </c>
      <c r="AA60" s="86" t="n">
        <f aca="false">AND((K60)&gt;=MIN(X60),(K60)&lt;=MAX(Y60))</f>
        <v>1</v>
      </c>
      <c r="AB60" s="86" t="n">
        <f aca="false">AND((N60)&gt;=MIN(X60),(N60)&lt;=MAX(Y60))</f>
        <v>1</v>
      </c>
      <c r="AC60" s="95" t="s">
        <v>796</v>
      </c>
      <c r="AD60" s="88" t="n">
        <f aca="false">2925.67/1.2*1.042</f>
        <v>2540.46</v>
      </c>
      <c r="AE60" s="88" t="n">
        <f aca="false">AD60*E60</f>
        <v>5080.92</v>
      </c>
      <c r="AF60" s="95" t="s">
        <v>797</v>
      </c>
      <c r="AG60" s="88" t="n">
        <f aca="false">3888/1.2*1.042</f>
        <v>3376.08</v>
      </c>
      <c r="AH60" s="89" t="n">
        <f aca="false">AG60*E60</f>
        <v>6752.16</v>
      </c>
      <c r="AI60" s="95" t="s">
        <v>798</v>
      </c>
      <c r="AJ60" s="88" t="n">
        <f aca="false">3600/1.2*1.042</f>
        <v>3126</v>
      </c>
      <c r="AK60" s="89" t="n">
        <f aca="false">AJ60*E60</f>
        <v>6252</v>
      </c>
      <c r="AL60" s="91" t="n">
        <f aca="false">AVERAGE(AD60,AG60,AJ60)</f>
        <v>3014.18</v>
      </c>
      <c r="AM60" s="91" t="n">
        <f aca="false">((F60-AL60)/AL60)*100</f>
        <v>0.32</v>
      </c>
      <c r="AN60" s="92" t="n">
        <f aca="false">AL60/1.2</f>
        <v>2511.82</v>
      </c>
      <c r="AO60" s="92" t="n">
        <f aca="false">AL60*1.2</f>
        <v>3617.02</v>
      </c>
      <c r="AP60" s="86" t="n">
        <f aca="false">AND((AD60)&gt;=MIN(AN60),(AD60)&lt;=MAX(AO60))</f>
        <v>1</v>
      </c>
      <c r="AQ60" s="86" t="n">
        <f aca="false">AND((AG60)&gt;=MIN(AN60),(AG60)&lt;=MAX(AO60))</f>
        <v>1</v>
      </c>
      <c r="AR60" s="86" t="n">
        <f aca="false">AND((AJ60)&gt;=MIN(AN60),(AJ60)&lt;=MAX(AO60))</f>
        <v>1</v>
      </c>
    </row>
    <row r="61" s="38" customFormat="true" ht="60.75" hidden="false" customHeight="true" outlineLevel="0" collapsed="false">
      <c r="A61" s="28" t="n">
        <v>51</v>
      </c>
      <c r="B61" s="84" t="s">
        <v>799</v>
      </c>
      <c r="C61" s="43" t="s">
        <v>800</v>
      </c>
      <c r="D61" s="44" t="s">
        <v>143</v>
      </c>
      <c r="E61" s="45" t="n">
        <v>1</v>
      </c>
      <c r="F61" s="32" t="n">
        <f aca="false">P61</f>
        <v>2814.29</v>
      </c>
      <c r="G61" s="49" t="s">
        <v>208</v>
      </c>
      <c r="H61" s="34" t="n">
        <f aca="false">3600/1.2*1.05</f>
        <v>3150</v>
      </c>
      <c r="I61" s="34" t="n">
        <f aca="false">E61*H61</f>
        <v>3150</v>
      </c>
      <c r="J61" s="42" t="s">
        <v>209</v>
      </c>
      <c r="K61" s="34" t="n">
        <f aca="false">3025/1.2*1.05</f>
        <v>2646.88</v>
      </c>
      <c r="L61" s="34" t="n">
        <f aca="false">E61*K61</f>
        <v>2646.88</v>
      </c>
      <c r="M61" s="42" t="s">
        <v>197</v>
      </c>
      <c r="N61" s="34" t="n">
        <f aca="false">3024/1.2*1.05</f>
        <v>2646</v>
      </c>
      <c r="O61" s="34" t="n">
        <f aca="false">E61*N61</f>
        <v>2646</v>
      </c>
      <c r="P61" s="35" t="n">
        <f aca="false">AVERAGE(H61,K61,N61)</f>
        <v>2814.29</v>
      </c>
      <c r="Q61" s="36" t="n">
        <f aca="false">F61*100/P61-100</f>
        <v>0</v>
      </c>
      <c r="R61" s="35" t="n">
        <f aca="false">P61*E61</f>
        <v>2814.29</v>
      </c>
      <c r="S61" s="37"/>
      <c r="U61" s="39" t="n">
        <f aca="false">ROUND(H61*100/P61-100,0)</f>
        <v>12</v>
      </c>
      <c r="V61" s="39" t="n">
        <f aca="false">ROUND(K61*100/P61-100,0)</f>
        <v>-6</v>
      </c>
      <c r="W61" s="39" t="n">
        <f aca="false">ROUND(N61*100/P61-100,0)</f>
        <v>-6</v>
      </c>
      <c r="X61" s="85" t="n">
        <f aca="false">P61/1.2</f>
        <v>2345.24</v>
      </c>
      <c r="Y61" s="85" t="n">
        <f aca="false">P61*1.2</f>
        <v>3377.15</v>
      </c>
      <c r="Z61" s="86" t="n">
        <f aca="false">AND((H61)&gt;=MIN(X61),(H61)&lt;=MAX(Y61))</f>
        <v>1</v>
      </c>
      <c r="AA61" s="86" t="n">
        <f aca="false">AND((K61)&gt;=MIN(X61),(K61)&lt;=MAX(Y61))</f>
        <v>1</v>
      </c>
      <c r="AB61" s="86" t="n">
        <f aca="false">AND((N61)&gt;=MIN(X61),(N61)&lt;=MAX(Y61))</f>
        <v>1</v>
      </c>
      <c r="AC61" s="95" t="s">
        <v>801</v>
      </c>
      <c r="AD61" s="88" t="n">
        <f aca="false">3720/1.2*1.042</f>
        <v>3230.2</v>
      </c>
      <c r="AE61" s="88" t="n">
        <f aca="false">AD61*E61</f>
        <v>3230.2</v>
      </c>
      <c r="AF61" s="95" t="s">
        <v>802</v>
      </c>
      <c r="AG61" s="88" t="n">
        <f aca="false">2925.67/1.2*1.042</f>
        <v>2540.46</v>
      </c>
      <c r="AH61" s="89" t="n">
        <f aca="false">AG61*E61</f>
        <v>2540.46</v>
      </c>
      <c r="AI61" s="87" t="s">
        <v>803</v>
      </c>
      <c r="AJ61" s="88" t="n">
        <f aca="false">3600/1.2*1.042</f>
        <v>3126</v>
      </c>
      <c r="AK61" s="89" t="n">
        <f aca="false">AJ61*E61</f>
        <v>3126</v>
      </c>
      <c r="AL61" s="91" t="n">
        <f aca="false">AVERAGE(AD61,AG61,AJ61)</f>
        <v>2965.55</v>
      </c>
      <c r="AM61" s="91" t="n">
        <f aca="false">((F61-AL61)/AL61)*100</f>
        <v>-5.1</v>
      </c>
      <c r="AN61" s="92" t="n">
        <f aca="false">AL61/1.2</f>
        <v>2471.29</v>
      </c>
      <c r="AO61" s="92" t="n">
        <f aca="false">AL61*1.2</f>
        <v>3558.66</v>
      </c>
      <c r="AP61" s="86" t="n">
        <f aca="false">AND((AD61)&gt;=MIN(AN61),(AD61)&lt;=MAX(AO61))</f>
        <v>1</v>
      </c>
      <c r="AQ61" s="86" t="n">
        <f aca="false">AND((AG61)&gt;=MIN(AN61),(AG61)&lt;=MAX(AO61))</f>
        <v>1</v>
      </c>
      <c r="AR61" s="86" t="n">
        <f aca="false">AND((AJ61)&gt;=MIN(AN61),(AJ61)&lt;=MAX(AO61))</f>
        <v>1</v>
      </c>
    </row>
    <row r="62" s="38" customFormat="true" ht="64.5" hidden="false" customHeight="true" outlineLevel="0" collapsed="false">
      <c r="A62" s="28" t="n">
        <v>52</v>
      </c>
      <c r="B62" s="84" t="s">
        <v>804</v>
      </c>
      <c r="C62" s="43" t="s">
        <v>805</v>
      </c>
      <c r="D62" s="44" t="s">
        <v>143</v>
      </c>
      <c r="E62" s="45" t="n">
        <v>4</v>
      </c>
      <c r="F62" s="32" t="n">
        <f aca="false">P62</f>
        <v>2456.59</v>
      </c>
      <c r="G62" s="42" t="s">
        <v>211</v>
      </c>
      <c r="H62" s="34" t="n">
        <f aca="false">2784/1.2*1.05</f>
        <v>2436</v>
      </c>
      <c r="I62" s="34" t="n">
        <f aca="false">E62*H62</f>
        <v>9744</v>
      </c>
      <c r="J62" s="42" t="s">
        <v>188</v>
      </c>
      <c r="K62" s="34" t="n">
        <f aca="false">2613.6/1.2*1.05</f>
        <v>2286.9</v>
      </c>
      <c r="L62" s="34" t="n">
        <f aca="false">E62*K62</f>
        <v>9147.6</v>
      </c>
      <c r="M62" s="42" t="s">
        <v>209</v>
      </c>
      <c r="N62" s="34" t="n">
        <f aca="false">3025/1.2*1.05</f>
        <v>2646.88</v>
      </c>
      <c r="O62" s="34" t="n">
        <f aca="false">E62*N62</f>
        <v>10587.52</v>
      </c>
      <c r="P62" s="35" t="n">
        <f aca="false">AVERAGE(H62,K62,N62)</f>
        <v>2456.59</v>
      </c>
      <c r="Q62" s="36" t="n">
        <f aca="false">F62*100/P62-100</f>
        <v>0</v>
      </c>
      <c r="R62" s="35" t="n">
        <f aca="false">P62*E62</f>
        <v>9826.36</v>
      </c>
      <c r="S62" s="37"/>
      <c r="U62" s="39" t="n">
        <f aca="false">ROUND(H62*100/P62-100,0)</f>
        <v>-1</v>
      </c>
      <c r="V62" s="39" t="n">
        <f aca="false">ROUND(K62*100/P62-100,0)</f>
        <v>-7</v>
      </c>
      <c r="W62" s="39" t="n">
        <f aca="false">ROUND(N62*100/P62-100,0)</f>
        <v>8</v>
      </c>
      <c r="X62" s="85" t="n">
        <f aca="false">P62/1.2</f>
        <v>2047.16</v>
      </c>
      <c r="Y62" s="85" t="n">
        <f aca="false">P62*1.2</f>
        <v>2947.91</v>
      </c>
      <c r="Z62" s="86" t="n">
        <f aca="false">AND((H62)&gt;=MIN(X62),(H62)&lt;=MAX(Y62))</f>
        <v>1</v>
      </c>
      <c r="AA62" s="86" t="n">
        <f aca="false">AND((K62)&gt;=MIN(X62),(K62)&lt;=MAX(Y62))</f>
        <v>1</v>
      </c>
      <c r="AB62" s="86" t="n">
        <f aca="false">AND((N62)&gt;=MIN(X62),(N62)&lt;=MAX(Y62))</f>
        <v>1</v>
      </c>
      <c r="AC62" s="95" t="s">
        <v>806</v>
      </c>
      <c r="AD62" s="88" t="n">
        <f aca="false">3600/1.2*1.042</f>
        <v>3126</v>
      </c>
      <c r="AE62" s="88" t="n">
        <f aca="false">AD62*E62</f>
        <v>12504</v>
      </c>
      <c r="AF62" s="95" t="s">
        <v>807</v>
      </c>
      <c r="AG62" s="88" t="n">
        <f aca="false">2925.67/1.2*1.042</f>
        <v>2540.46</v>
      </c>
      <c r="AH62" s="89" t="n">
        <f aca="false">AG62*E62</f>
        <v>10161.84</v>
      </c>
      <c r="AI62" s="95" t="s">
        <v>808</v>
      </c>
      <c r="AJ62" s="88" t="n">
        <f aca="false">2686/1.2*1.042</f>
        <v>2332.34</v>
      </c>
      <c r="AK62" s="89" t="n">
        <f aca="false">AJ62*E62</f>
        <v>9329.36</v>
      </c>
      <c r="AL62" s="91" t="n">
        <f aca="false">AVERAGE(AD62,AG62,AJ62)</f>
        <v>2666.27</v>
      </c>
      <c r="AM62" s="91" t="n">
        <f aca="false">((F62-AL62)/AL62)*100</f>
        <v>-7.86</v>
      </c>
      <c r="AN62" s="92" t="n">
        <f aca="false">AL62/1.2</f>
        <v>2221.89</v>
      </c>
      <c r="AO62" s="92" t="n">
        <f aca="false">AL62*1.2</f>
        <v>3199.52</v>
      </c>
      <c r="AP62" s="86" t="n">
        <f aca="false">AND((AD62)&gt;=MIN(AN62),(AD62)&lt;=MAX(AO62))</f>
        <v>1</v>
      </c>
      <c r="AQ62" s="86" t="n">
        <f aca="false">AND((AG62)&gt;=MIN(AN62),(AG62)&lt;=MAX(AO62))</f>
        <v>1</v>
      </c>
      <c r="AR62" s="86" t="n">
        <f aca="false">AND((AJ62)&gt;=MIN(AN62),(AJ62)&lt;=MAX(AO62))</f>
        <v>1</v>
      </c>
    </row>
    <row r="63" s="38" customFormat="true" ht="55.5" hidden="false" customHeight="true" outlineLevel="0" collapsed="false">
      <c r="A63" s="28" t="n">
        <v>53</v>
      </c>
      <c r="B63" s="99"/>
      <c r="C63" s="43" t="s">
        <v>212</v>
      </c>
      <c r="D63" s="44" t="s">
        <v>143</v>
      </c>
      <c r="E63" s="45" t="n">
        <v>4</v>
      </c>
      <c r="F63" s="32" t="n">
        <f aca="false">P63</f>
        <v>177.63</v>
      </c>
      <c r="G63" s="33" t="s">
        <v>213</v>
      </c>
      <c r="H63" s="34" t="n">
        <f aca="false">206/1.2*1.05</f>
        <v>180.25</v>
      </c>
      <c r="I63" s="34" t="n">
        <f aca="false">E63*H63</f>
        <v>721</v>
      </c>
      <c r="J63" s="33" t="s">
        <v>214</v>
      </c>
      <c r="K63" s="34" t="n">
        <f aca="false">198/1.2*1.05</f>
        <v>173.25</v>
      </c>
      <c r="L63" s="34" t="n">
        <f aca="false">E63*K63</f>
        <v>693</v>
      </c>
      <c r="M63" s="40" t="s">
        <v>215</v>
      </c>
      <c r="N63" s="34" t="n">
        <f aca="false">205/1.2*1.05</f>
        <v>179.38</v>
      </c>
      <c r="O63" s="34" t="n">
        <f aca="false">E63*N63</f>
        <v>717.52</v>
      </c>
      <c r="P63" s="35" t="n">
        <f aca="false">AVERAGE(H63,K63,N63)</f>
        <v>177.63</v>
      </c>
      <c r="Q63" s="36" t="n">
        <f aca="false">F63*100/P63-100</f>
        <v>0</v>
      </c>
      <c r="R63" s="35" t="n">
        <f aca="false">P63*E63</f>
        <v>710.52</v>
      </c>
      <c r="S63" s="37"/>
      <c r="U63" s="39" t="n">
        <f aca="false">ROUND(H63*100/P63-100,0)</f>
        <v>1</v>
      </c>
      <c r="V63" s="39" t="n">
        <f aca="false">ROUND(K63*100/P63-100,0)</f>
        <v>-2</v>
      </c>
      <c r="W63" s="39" t="n">
        <f aca="false">ROUND(N63*100/P63-100,0)</f>
        <v>1</v>
      </c>
      <c r="X63" s="85" t="n">
        <f aca="false">P63/1.2</f>
        <v>148.03</v>
      </c>
      <c r="Y63" s="85" t="n">
        <f aca="false">P63*1.2</f>
        <v>213.16</v>
      </c>
      <c r="Z63" s="86" t="n">
        <f aca="false">AND((H63)&gt;=MIN(X63),(H63)&lt;=MAX(Y63))</f>
        <v>1</v>
      </c>
      <c r="AA63" s="86" t="n">
        <f aca="false">AND((K63)&gt;=MIN(X63),(K63)&lt;=MAX(Y63))</f>
        <v>1</v>
      </c>
      <c r="AB63" s="86" t="n">
        <f aca="false">AND((N63)&gt;=MIN(X63),(N63)&lt;=MAX(Y63))</f>
        <v>1</v>
      </c>
      <c r="AC63" s="95" t="s">
        <v>809</v>
      </c>
      <c r="AD63" s="88" t="n">
        <f aca="false">211/1.2*1.05</f>
        <v>184.63</v>
      </c>
      <c r="AE63" s="88" t="n">
        <f aca="false">AD63*E63</f>
        <v>738.52</v>
      </c>
      <c r="AF63" s="95" t="s">
        <v>810</v>
      </c>
      <c r="AG63" s="88" t="n">
        <f aca="false">170/1.2*1.05</f>
        <v>148.75</v>
      </c>
      <c r="AH63" s="89" t="n">
        <f aca="false">AG63*E63</f>
        <v>595</v>
      </c>
      <c r="AI63" s="95" t="s">
        <v>811</v>
      </c>
      <c r="AJ63" s="88" t="n">
        <f aca="false">183/1.2*1.05</f>
        <v>160.13</v>
      </c>
      <c r="AK63" s="89" t="n">
        <f aca="false">AJ63*E63</f>
        <v>640.52</v>
      </c>
      <c r="AL63" s="91" t="n">
        <f aca="false">AVERAGE(AD63,AG63,AJ63)</f>
        <v>164.5</v>
      </c>
      <c r="AM63" s="91" t="n">
        <f aca="false">((F63-AL63)/AL63)*100</f>
        <v>7.98</v>
      </c>
      <c r="AN63" s="92" t="n">
        <f aca="false">AL63/1.2</f>
        <v>137.08</v>
      </c>
      <c r="AO63" s="92" t="n">
        <f aca="false">AL63*1.2</f>
        <v>197.4</v>
      </c>
      <c r="AP63" s="86" t="n">
        <f aca="false">AND((AD63)&gt;=MIN(AN63),(AD63)&lt;=MAX(AO63))</f>
        <v>1</v>
      </c>
      <c r="AQ63" s="86" t="n">
        <f aca="false">AND((AG63)&gt;=MIN(AN63),(AG63)&lt;=MAX(AO63))</f>
        <v>1</v>
      </c>
      <c r="AR63" s="86" t="n">
        <f aca="false">AND((AJ63)&gt;=MIN(AN63),(AJ63)&lt;=MAX(AO63))</f>
        <v>1</v>
      </c>
    </row>
    <row r="64" s="38" customFormat="true" ht="49.5" hidden="false" customHeight="true" outlineLevel="0" collapsed="false">
      <c r="A64" s="28" t="n">
        <v>54</v>
      </c>
      <c r="B64" s="99"/>
      <c r="C64" s="43" t="s">
        <v>216</v>
      </c>
      <c r="D64" s="44" t="s">
        <v>64</v>
      </c>
      <c r="E64" s="45" t="n">
        <v>21.58</v>
      </c>
      <c r="F64" s="32" t="n">
        <f aca="false">P64</f>
        <v>454.27</v>
      </c>
      <c r="G64" s="49" t="s">
        <v>217</v>
      </c>
      <c r="H64" s="34" t="n">
        <f aca="false">525/1.2*1.05</f>
        <v>459.38</v>
      </c>
      <c r="I64" s="34" t="n">
        <f aca="false">E64*H64</f>
        <v>9913.42</v>
      </c>
      <c r="J64" s="42" t="s">
        <v>218</v>
      </c>
      <c r="K64" s="34" t="n">
        <f aca="false">529/1.2*1.05</f>
        <v>462.88</v>
      </c>
      <c r="L64" s="34" t="n">
        <f aca="false">E64*K64</f>
        <v>9988.95</v>
      </c>
      <c r="M64" s="42" t="s">
        <v>219</v>
      </c>
      <c r="N64" s="34" t="n">
        <f aca="false">503.5/1.2*1.05</f>
        <v>440.56</v>
      </c>
      <c r="O64" s="34" t="n">
        <f aca="false">E64*N64</f>
        <v>9507.28</v>
      </c>
      <c r="P64" s="35" t="n">
        <f aca="false">AVERAGE(H64,K64,N64)</f>
        <v>454.27</v>
      </c>
      <c r="Q64" s="36" t="n">
        <f aca="false">F64*100/P64-100</f>
        <v>0</v>
      </c>
      <c r="R64" s="35" t="n">
        <f aca="false">P64*E64</f>
        <v>9803.15</v>
      </c>
      <c r="S64" s="37"/>
      <c r="U64" s="39" t="n">
        <f aca="false">ROUND(H64*100/P64-100,0)</f>
        <v>1</v>
      </c>
      <c r="V64" s="39" t="n">
        <f aca="false">ROUND(K64*100/P64-100,0)</f>
        <v>2</v>
      </c>
      <c r="W64" s="39" t="n">
        <f aca="false">ROUND(N64*100/P64-100,0)</f>
        <v>-3</v>
      </c>
      <c r="X64" s="85" t="n">
        <f aca="false">P64/1.2</f>
        <v>378.56</v>
      </c>
      <c r="Y64" s="85" t="n">
        <f aca="false">P64*1.2</f>
        <v>545.12</v>
      </c>
      <c r="Z64" s="86" t="n">
        <f aca="false">AND((H64)&gt;=MIN(X64),(H64)&lt;=MAX(Y64))</f>
        <v>1</v>
      </c>
      <c r="AA64" s="86" t="n">
        <f aca="false">AND((K64)&gt;=MIN(X64),(K64)&lt;=MAX(Y64))</f>
        <v>1</v>
      </c>
      <c r="AB64" s="86" t="n">
        <f aca="false">AND((N64)&gt;=MIN(X64),(N64)&lt;=MAX(Y64))</f>
        <v>1</v>
      </c>
      <c r="AC64" s="95" t="s">
        <v>812</v>
      </c>
      <c r="AD64" s="88" t="n">
        <f aca="false">555/1.2*1.05</f>
        <v>485.63</v>
      </c>
      <c r="AE64" s="88" t="n">
        <f aca="false">AD64*E64</f>
        <v>10479.9</v>
      </c>
      <c r="AF64" s="95" t="s">
        <v>813</v>
      </c>
      <c r="AG64" s="88" t="n">
        <f aca="false">525/1.2*1.05</f>
        <v>459.38</v>
      </c>
      <c r="AH64" s="89" t="n">
        <f aca="false">AG64*E64</f>
        <v>9913.42</v>
      </c>
      <c r="AI64" s="95" t="s">
        <v>814</v>
      </c>
      <c r="AJ64" s="88" t="n">
        <f aca="false">500/1.2*1.05</f>
        <v>437.5</v>
      </c>
      <c r="AK64" s="89" t="n">
        <f aca="false">AJ64*E64</f>
        <v>9441.25</v>
      </c>
      <c r="AL64" s="91" t="n">
        <f aca="false">AVERAGE(AD64,AG64,AJ64)</f>
        <v>460.84</v>
      </c>
      <c r="AM64" s="91" t="n">
        <f aca="false">((F64-AL64)/AL64)*100</f>
        <v>-1.43</v>
      </c>
      <c r="AN64" s="92" t="n">
        <f aca="false">AL64/1.2</f>
        <v>384.03</v>
      </c>
      <c r="AO64" s="92" t="n">
        <f aca="false">AL64*1.2</f>
        <v>553.01</v>
      </c>
      <c r="AP64" s="86" t="n">
        <f aca="false">AND((AD64)&gt;=MIN(AN64),(AD64)&lt;=MAX(AO64))</f>
        <v>1</v>
      </c>
      <c r="AQ64" s="86" t="n">
        <f aca="false">AND((AG64)&gt;=MIN(AN64),(AG64)&lt;=MAX(AO64))</f>
        <v>1</v>
      </c>
      <c r="AR64" s="86" t="n">
        <f aca="false">AND((AJ64)&gt;=MIN(AN64),(AJ64)&lt;=MAX(AO64))</f>
        <v>1</v>
      </c>
    </row>
    <row r="65" s="38" customFormat="true" ht="49.5" hidden="false" customHeight="true" outlineLevel="0" collapsed="false">
      <c r="A65" s="28" t="n">
        <v>55</v>
      </c>
      <c r="B65" s="99"/>
      <c r="C65" s="43" t="s">
        <v>220</v>
      </c>
      <c r="D65" s="44" t="s">
        <v>27</v>
      </c>
      <c r="E65" s="45" t="n">
        <v>392.2</v>
      </c>
      <c r="F65" s="32" t="n">
        <f aca="false">P65</f>
        <v>427</v>
      </c>
      <c r="G65" s="42" t="s">
        <v>221</v>
      </c>
      <c r="H65" s="34" t="n">
        <f aca="false">81400/180/1.2*1.05</f>
        <v>395.69</v>
      </c>
      <c r="I65" s="34" t="n">
        <f aca="false">E65*H65</f>
        <v>155189.62</v>
      </c>
      <c r="J65" s="46" t="s">
        <v>222</v>
      </c>
      <c r="K65" s="34" t="n">
        <f aca="false">85509/180/1.2*1.05</f>
        <v>415.67</v>
      </c>
      <c r="L65" s="34" t="n">
        <f aca="false">E65*K65</f>
        <v>163025.77</v>
      </c>
      <c r="M65" s="42" t="s">
        <v>223</v>
      </c>
      <c r="N65" s="34" t="n">
        <f aca="false">98760/184/1.2*1.05</f>
        <v>469.65</v>
      </c>
      <c r="O65" s="34" t="n">
        <f aca="false">E65*N65</f>
        <v>184196.73</v>
      </c>
      <c r="P65" s="35" t="n">
        <f aca="false">AVERAGE(H65,K65,N65)</f>
        <v>427</v>
      </c>
      <c r="Q65" s="36" t="n">
        <f aca="false">F65*100/P65-100</f>
        <v>0</v>
      </c>
      <c r="R65" s="35" t="n">
        <f aca="false">P65*E65</f>
        <v>167469.4</v>
      </c>
      <c r="S65" s="37"/>
      <c r="U65" s="39" t="n">
        <f aca="false">ROUND(H65*100/P65-100,0)</f>
        <v>-7</v>
      </c>
      <c r="V65" s="39" t="n">
        <f aca="false">ROUND(K65*100/P65-100,0)</f>
        <v>-3</v>
      </c>
      <c r="W65" s="39" t="n">
        <f aca="false">ROUND(N65*100/P65-100,0)</f>
        <v>10</v>
      </c>
      <c r="X65" s="85" t="n">
        <f aca="false">P65/1.2</f>
        <v>355.83</v>
      </c>
      <c r="Y65" s="85" t="n">
        <f aca="false">P65*1.2</f>
        <v>512.4</v>
      </c>
      <c r="Z65" s="86" t="n">
        <f aca="false">AND((H65)&gt;=MIN(X65),(H65)&lt;=MAX(Y65))</f>
        <v>1</v>
      </c>
      <c r="AA65" s="86" t="n">
        <f aca="false">AND((K65)&gt;=MIN(X65),(K65)&lt;=MAX(Y65))</f>
        <v>1</v>
      </c>
      <c r="AB65" s="86" t="n">
        <f aca="false">AND((N65)&gt;=MIN(X65),(N65)&lt;=MAX(Y65))</f>
        <v>1</v>
      </c>
      <c r="AC65" s="95" t="s">
        <v>815</v>
      </c>
      <c r="AD65" s="88" t="n">
        <f aca="false">73827/180/1.2*1.05</f>
        <v>358.88</v>
      </c>
      <c r="AE65" s="88" t="n">
        <f aca="false">AD65*E65</f>
        <v>140752.74</v>
      </c>
      <c r="AF65" s="95" t="s">
        <v>816</v>
      </c>
      <c r="AG65" s="88" t="n">
        <f aca="false">83960/1.2/180*1.05</f>
        <v>408.14</v>
      </c>
      <c r="AH65" s="89" t="n">
        <f aca="false">AG65*E65</f>
        <v>160072.51</v>
      </c>
      <c r="AI65" s="95" t="s">
        <v>817</v>
      </c>
      <c r="AJ65" s="88" t="n">
        <f aca="false">85100/180/1.2*1.05</f>
        <v>413.68</v>
      </c>
      <c r="AK65" s="89" t="n">
        <f aca="false">AJ65*E65</f>
        <v>162245.3</v>
      </c>
      <c r="AL65" s="91" t="n">
        <f aca="false">AVERAGE(AD65,AG65,AJ65)</f>
        <v>393.57</v>
      </c>
      <c r="AM65" s="91" t="n">
        <f aca="false">((F65-AL65)/AL65)*100</f>
        <v>8.49</v>
      </c>
      <c r="AN65" s="92" t="n">
        <f aca="false">AL65/1.2</f>
        <v>327.98</v>
      </c>
      <c r="AO65" s="92" t="n">
        <f aca="false">AL65*1.2</f>
        <v>472.28</v>
      </c>
      <c r="AP65" s="86" t="n">
        <f aca="false">AND((AD65)&gt;=MIN(AN65),(AD65)&lt;=MAX(AO65))</f>
        <v>1</v>
      </c>
      <c r="AQ65" s="86" t="n">
        <f aca="false">AND((AG65)&gt;=MIN(AN65),(AG65)&lt;=MAX(AO65))</f>
        <v>1</v>
      </c>
      <c r="AR65" s="86" t="n">
        <f aca="false">AND((AJ65)&gt;=MIN(AN65),(AJ65)&lt;=MAX(AO65))</f>
        <v>1</v>
      </c>
    </row>
    <row r="66" s="38" customFormat="true" ht="49.5" hidden="false" customHeight="true" outlineLevel="0" collapsed="false">
      <c r="A66" s="28" t="n">
        <v>56</v>
      </c>
      <c r="B66" s="99"/>
      <c r="C66" s="43" t="s">
        <v>224</v>
      </c>
      <c r="D66" s="44" t="s">
        <v>64</v>
      </c>
      <c r="E66" s="45" t="n">
        <v>60</v>
      </c>
      <c r="F66" s="32" t="n">
        <f aca="false">P66</f>
        <v>306.95</v>
      </c>
      <c r="G66" s="42" t="s">
        <v>225</v>
      </c>
      <c r="H66" s="34" t="n">
        <f aca="false">1760/5/1.2*1.05</f>
        <v>308</v>
      </c>
      <c r="I66" s="34" t="n">
        <f aca="false">E66*H66</f>
        <v>18480</v>
      </c>
      <c r="J66" s="42" t="s">
        <v>226</v>
      </c>
      <c r="K66" s="34" t="n">
        <f aca="false">1727/5/1.2*1.05</f>
        <v>302.23</v>
      </c>
      <c r="L66" s="34" t="n">
        <f aca="false">E66*K66</f>
        <v>18133.8</v>
      </c>
      <c r="M66" s="42" t="s">
        <v>227</v>
      </c>
      <c r="N66" s="34" t="n">
        <f aca="false">355/1.2*1.05</f>
        <v>310.63</v>
      </c>
      <c r="O66" s="34" t="n">
        <f aca="false">E66*N66</f>
        <v>18637.8</v>
      </c>
      <c r="P66" s="35" t="n">
        <f aca="false">AVERAGE(H66,K66,N66)</f>
        <v>306.95</v>
      </c>
      <c r="Q66" s="36" t="n">
        <f aca="false">F66*100/P66-100</f>
        <v>0</v>
      </c>
      <c r="R66" s="35" t="n">
        <f aca="false">P66*E66</f>
        <v>18417</v>
      </c>
      <c r="S66" s="37"/>
      <c r="U66" s="39" t="n">
        <f aca="false">ROUND(H66*100/P66-100,0)</f>
        <v>0</v>
      </c>
      <c r="V66" s="39" t="n">
        <f aca="false">ROUND(K66*100/P66-100,0)</f>
        <v>-2</v>
      </c>
      <c r="W66" s="39" t="n">
        <f aca="false">ROUND(N66*100/P66-100,0)</f>
        <v>1</v>
      </c>
      <c r="X66" s="85" t="n">
        <f aca="false">P66/1.2</f>
        <v>255.79</v>
      </c>
      <c r="Y66" s="85" t="n">
        <f aca="false">P66*1.2</f>
        <v>368.34</v>
      </c>
      <c r="Z66" s="86" t="n">
        <f aca="false">AND((H66)&gt;=MIN(X66),(H66)&lt;=MAX(Y66))</f>
        <v>1</v>
      </c>
      <c r="AA66" s="86" t="n">
        <f aca="false">AND((K66)&gt;=MIN(X66),(K66)&lt;=MAX(Y66))</f>
        <v>1</v>
      </c>
      <c r="AB66" s="86" t="n">
        <f aca="false">AND((N66)&gt;=MIN(X66),(N66)&lt;=MAX(Y66))</f>
        <v>1</v>
      </c>
      <c r="AC66" s="95" t="s">
        <v>818</v>
      </c>
      <c r="AD66" s="88" t="n">
        <f aca="false">1740/5/1.2*1.05</f>
        <v>304.5</v>
      </c>
      <c r="AE66" s="88" t="n">
        <f aca="false">AD66*E66</f>
        <v>18270</v>
      </c>
      <c r="AF66" s="95" t="s">
        <v>819</v>
      </c>
      <c r="AG66" s="88" t="n">
        <f aca="false">1818/1.2/5*1.05</f>
        <v>318.15</v>
      </c>
      <c r="AH66" s="89" t="n">
        <f aca="false">AG66*E66</f>
        <v>19089</v>
      </c>
      <c r="AI66" s="95" t="s">
        <v>820</v>
      </c>
      <c r="AJ66" s="88" t="n">
        <f aca="false">1720/1.2/5*1.05</f>
        <v>301</v>
      </c>
      <c r="AK66" s="89" t="n">
        <f aca="false">AJ66*E66</f>
        <v>18060</v>
      </c>
      <c r="AL66" s="91" t="n">
        <f aca="false">AVERAGE(AD66,AG66,AJ66)</f>
        <v>307.88</v>
      </c>
      <c r="AM66" s="91" t="n">
        <f aca="false">((F66-AL66)/AL66)*100</f>
        <v>-0.3</v>
      </c>
      <c r="AN66" s="92" t="n">
        <f aca="false">AL66/1.2</f>
        <v>256.57</v>
      </c>
      <c r="AO66" s="92" t="n">
        <f aca="false">AL66*1.2</f>
        <v>369.46</v>
      </c>
      <c r="AP66" s="86" t="n">
        <f aca="false">AND((AD66)&gt;=MIN(AN66),(AD66)&lt;=MAX(AO66))</f>
        <v>1</v>
      </c>
      <c r="AQ66" s="86" t="n">
        <f aca="false">AND((AG66)&gt;=MIN(AN66),(AG66)&lt;=MAX(AO66))</f>
        <v>1</v>
      </c>
      <c r="AR66" s="86" t="n">
        <f aca="false">AND((AJ66)&gt;=MIN(AN66),(AJ66)&lt;=MAX(AO66))</f>
        <v>1</v>
      </c>
    </row>
    <row r="67" s="38" customFormat="true" ht="49.5" hidden="false" customHeight="true" outlineLevel="0" collapsed="false">
      <c r="A67" s="28" t="n">
        <v>57</v>
      </c>
      <c r="B67" s="99"/>
      <c r="C67" s="43" t="s">
        <v>228</v>
      </c>
      <c r="D67" s="44" t="s">
        <v>64</v>
      </c>
      <c r="E67" s="45" t="n">
        <v>42.5</v>
      </c>
      <c r="F67" s="32" t="n">
        <f aca="false">P67</f>
        <v>341.6</v>
      </c>
      <c r="G67" s="42" t="s">
        <v>229</v>
      </c>
      <c r="H67" s="34" t="n">
        <f aca="false">1866.75/5/1.2*1.05</f>
        <v>326.68</v>
      </c>
      <c r="I67" s="34" t="n">
        <f aca="false">E67*H67</f>
        <v>13883.9</v>
      </c>
      <c r="J67" s="42" t="s">
        <v>230</v>
      </c>
      <c r="K67" s="34" t="n">
        <f aca="false">1990/5/1.2*1.05</f>
        <v>348.25</v>
      </c>
      <c r="L67" s="34" t="n">
        <f aca="false">E67*K67</f>
        <v>14800.63</v>
      </c>
      <c r="M67" s="42" t="s">
        <v>231</v>
      </c>
      <c r="N67" s="34" t="n">
        <f aca="false">1999.2/5/1.2*1.05</f>
        <v>349.86</v>
      </c>
      <c r="O67" s="34" t="n">
        <f aca="false">E67*N67</f>
        <v>14869.05</v>
      </c>
      <c r="P67" s="35" t="n">
        <f aca="false">AVERAGE(H67,K67,N67)</f>
        <v>341.6</v>
      </c>
      <c r="Q67" s="36" t="n">
        <f aca="false">F67*100/P67-100</f>
        <v>0</v>
      </c>
      <c r="R67" s="35" t="n">
        <f aca="false">P67*E67</f>
        <v>14518</v>
      </c>
      <c r="S67" s="37"/>
      <c r="U67" s="39" t="n">
        <f aca="false">ROUND(H67*100/P67-100,0)</f>
        <v>-4</v>
      </c>
      <c r="V67" s="39" t="n">
        <f aca="false">ROUND(K67*100/P67-100,0)</f>
        <v>2</v>
      </c>
      <c r="W67" s="39" t="n">
        <f aca="false">ROUND(N67*100/P67-100,0)</f>
        <v>2</v>
      </c>
      <c r="X67" s="85" t="n">
        <f aca="false">P67/1.2</f>
        <v>284.67</v>
      </c>
      <c r="Y67" s="85" t="n">
        <f aca="false">P67*1.2</f>
        <v>409.92</v>
      </c>
      <c r="Z67" s="86" t="n">
        <f aca="false">AND((H67)&gt;=MIN(X67),(H67)&lt;=MAX(Y67))</f>
        <v>1</v>
      </c>
      <c r="AA67" s="86" t="n">
        <f aca="false">AND((K67)&gt;=MIN(X67),(K67)&lt;=MAX(Y67))</f>
        <v>1</v>
      </c>
      <c r="AB67" s="86" t="n">
        <f aca="false">AND((N67)&gt;=MIN(X67),(N67)&lt;=MAX(Y67))</f>
        <v>1</v>
      </c>
      <c r="AC67" s="95" t="s">
        <v>821</v>
      </c>
      <c r="AD67" s="88" t="n">
        <f aca="false">16835/50/1.2*1.05</f>
        <v>294.61</v>
      </c>
      <c r="AE67" s="88" t="n">
        <f aca="false">AD67*E67</f>
        <v>12520.93</v>
      </c>
      <c r="AF67" s="95" t="s">
        <v>822</v>
      </c>
      <c r="AG67" s="88" t="n">
        <f aca="false">17413/50/1.2*1.05</f>
        <v>304.73</v>
      </c>
      <c r="AH67" s="89" t="n">
        <f aca="false">AG67*E67</f>
        <v>12951.03</v>
      </c>
      <c r="AI67" s="95" t="s">
        <v>823</v>
      </c>
      <c r="AJ67" s="88" t="n">
        <f aca="false">16727/1.2/50*1.05</f>
        <v>292.72</v>
      </c>
      <c r="AK67" s="89" t="n">
        <f aca="false">AJ67*E67</f>
        <v>12440.6</v>
      </c>
      <c r="AL67" s="91" t="n">
        <f aca="false">AVERAGE(AD67,AG67,AJ67)</f>
        <v>297.35</v>
      </c>
      <c r="AM67" s="91" t="n">
        <f aca="false">((F67-AL67)/AL67)*100</f>
        <v>14.88</v>
      </c>
      <c r="AN67" s="92" t="n">
        <f aca="false">AL67/1.2</f>
        <v>247.79</v>
      </c>
      <c r="AO67" s="92" t="n">
        <f aca="false">AL67*1.2</f>
        <v>356.82</v>
      </c>
      <c r="AP67" s="86" t="n">
        <f aca="false">AND((AD67)&gt;=MIN(AN67),(AD67)&lt;=MAX(AO67))</f>
        <v>1</v>
      </c>
      <c r="AQ67" s="86" t="n">
        <f aca="false">AND((AG67)&gt;=MIN(AN67),(AG67)&lt;=MAX(AO67))</f>
        <v>1</v>
      </c>
      <c r="AR67" s="86" t="n">
        <f aca="false">AND((AJ67)&gt;=MIN(AN67),(AJ67)&lt;=MAX(AO67))</f>
        <v>1</v>
      </c>
    </row>
    <row r="68" s="38" customFormat="true" ht="72.75" hidden="false" customHeight="true" outlineLevel="0" collapsed="false">
      <c r="A68" s="28" t="n">
        <v>58</v>
      </c>
      <c r="B68" s="84" t="s">
        <v>824</v>
      </c>
      <c r="C68" s="43" t="s">
        <v>232</v>
      </c>
      <c r="D68" s="44" t="s">
        <v>143</v>
      </c>
      <c r="E68" s="45" t="n">
        <v>3</v>
      </c>
      <c r="F68" s="32" t="n">
        <f aca="false">P68</f>
        <v>878.57</v>
      </c>
      <c r="G68" s="42" t="s">
        <v>233</v>
      </c>
      <c r="H68" s="47" t="n">
        <f aca="false">984.43/1.2*1.05</f>
        <v>861.38</v>
      </c>
      <c r="I68" s="47" t="n">
        <f aca="false">E68*H68</f>
        <v>2584.14</v>
      </c>
      <c r="J68" s="42" t="s">
        <v>234</v>
      </c>
      <c r="K68" s="47" t="n">
        <f aca="false">1036/1.2*1.05</f>
        <v>906.5</v>
      </c>
      <c r="L68" s="47" t="n">
        <f aca="false">E68*K68</f>
        <v>2719.5</v>
      </c>
      <c r="M68" s="49" t="s">
        <v>235</v>
      </c>
      <c r="N68" s="47" t="n">
        <f aca="false">991.8/1.2*1.05</f>
        <v>867.83</v>
      </c>
      <c r="O68" s="47" t="n">
        <f aca="false">E68*N68</f>
        <v>2603.49</v>
      </c>
      <c r="P68" s="48" t="n">
        <f aca="false">AVERAGE(H68,K68,N68)</f>
        <v>878.57</v>
      </c>
      <c r="Q68" s="36" t="n">
        <f aca="false">F68*100/P68-100</f>
        <v>0</v>
      </c>
      <c r="R68" s="35" t="n">
        <f aca="false">P68*E68</f>
        <v>2635.71</v>
      </c>
      <c r="S68" s="37"/>
      <c r="U68" s="39" t="n">
        <f aca="false">ROUND(H68*100/P68-100,0)</f>
        <v>-2</v>
      </c>
      <c r="V68" s="39" t="n">
        <f aca="false">ROUND(K68*100/P68-100,0)</f>
        <v>3</v>
      </c>
      <c r="W68" s="39" t="n">
        <f aca="false">ROUND(N68*100/P68-100,0)</f>
        <v>-1</v>
      </c>
      <c r="X68" s="85" t="n">
        <f aca="false">P68/1.2</f>
        <v>732.14</v>
      </c>
      <c r="Y68" s="85" t="n">
        <f aca="false">P68*1.2</f>
        <v>1054.28</v>
      </c>
      <c r="Z68" s="86" t="n">
        <f aca="false">AND((H68)&gt;=MIN(X68),(H68)&lt;=MAX(Y68))</f>
        <v>1</v>
      </c>
      <c r="AA68" s="86" t="n">
        <f aca="false">AND((K68)&gt;=MIN(X68),(K68)&lt;=MAX(Y68))</f>
        <v>1</v>
      </c>
      <c r="AB68" s="86" t="n">
        <f aca="false">AND((N68)&gt;=MIN(X68),(N68)&lt;=MAX(Y68))</f>
        <v>1</v>
      </c>
      <c r="AC68" s="95" t="s">
        <v>825</v>
      </c>
      <c r="AD68" s="88" t="n">
        <f aca="false">1413/1.2*1.042</f>
        <v>1226.96</v>
      </c>
      <c r="AE68" s="88" t="n">
        <f aca="false">AD68*E68</f>
        <v>3680.88</v>
      </c>
      <c r="AF68" s="95" t="s">
        <v>826</v>
      </c>
      <c r="AG68" s="88" t="n">
        <f aca="false">1473.42/1.2*1.042</f>
        <v>1279.42</v>
      </c>
      <c r="AH68" s="89" t="n">
        <f aca="false">AG68*E68</f>
        <v>3838.26</v>
      </c>
      <c r="AI68" s="95" t="s">
        <v>827</v>
      </c>
      <c r="AJ68" s="88" t="n">
        <f aca="false">1510/1.2*1.042</f>
        <v>1311.18</v>
      </c>
      <c r="AK68" s="89" t="n">
        <f aca="false">AJ68*E68</f>
        <v>3933.54</v>
      </c>
      <c r="AL68" s="91" t="n">
        <f aca="false">AVERAGE(AD68,AG68,AJ68)</f>
        <v>1272.52</v>
      </c>
      <c r="AM68" s="91" t="n">
        <f aca="false">((F68-AL68)/AL68)*100</f>
        <v>-30.96</v>
      </c>
      <c r="AN68" s="92" t="n">
        <f aca="false">AL68/1.2</f>
        <v>1060.43</v>
      </c>
      <c r="AO68" s="92" t="n">
        <f aca="false">AL68*1.2</f>
        <v>1527.02</v>
      </c>
      <c r="AP68" s="86" t="n">
        <f aca="false">AND((AD68)&gt;=MIN(AN68),(AD68)&lt;=MAX(AO68))</f>
        <v>1</v>
      </c>
      <c r="AQ68" s="86" t="n">
        <f aca="false">AND((AG68)&gt;=MIN(AN68),(AG68)&lt;=MAX(AO68))</f>
        <v>1</v>
      </c>
      <c r="AR68" s="86" t="n">
        <f aca="false">AND((AJ68)&gt;=MIN(AN68),(AJ68)&lt;=MAX(AO68))</f>
        <v>1</v>
      </c>
    </row>
    <row r="69" s="38" customFormat="true" ht="49.5" hidden="false" customHeight="true" outlineLevel="0" collapsed="false">
      <c r="A69" s="28" t="n">
        <v>59</v>
      </c>
      <c r="B69" s="99"/>
      <c r="C69" s="43" t="s">
        <v>236</v>
      </c>
      <c r="D69" s="44" t="s">
        <v>143</v>
      </c>
      <c r="E69" s="45" t="n">
        <v>3</v>
      </c>
      <c r="F69" s="32" t="n">
        <f aca="false">P69</f>
        <v>1226.01</v>
      </c>
      <c r="G69" s="33" t="s">
        <v>237</v>
      </c>
      <c r="H69" s="47" t="n">
        <f aca="false">1566/1.2*1.05</f>
        <v>1370.25</v>
      </c>
      <c r="I69" s="47" t="n">
        <f aca="false">E69*H69</f>
        <v>4110.75</v>
      </c>
      <c r="J69" s="33" t="s">
        <v>238</v>
      </c>
      <c r="K69" s="47" t="n">
        <f aca="false">1331.46/1.2*1.05</f>
        <v>1165.03</v>
      </c>
      <c r="L69" s="47" t="n">
        <f aca="false">E69*K69</f>
        <v>3495.09</v>
      </c>
      <c r="M69" s="33" t="s">
        <v>239</v>
      </c>
      <c r="N69" s="47" t="n">
        <f aca="false">1306/1.2*1.05</f>
        <v>1142.75</v>
      </c>
      <c r="O69" s="47" t="n">
        <f aca="false">E69*N69</f>
        <v>3428.25</v>
      </c>
      <c r="P69" s="48" t="n">
        <f aca="false">AVERAGE(H69,K69,N69)</f>
        <v>1226.01</v>
      </c>
      <c r="Q69" s="36" t="n">
        <f aca="false">F69*100/P69-100</f>
        <v>0</v>
      </c>
      <c r="R69" s="35" t="n">
        <f aca="false">P69*E69</f>
        <v>3678.03</v>
      </c>
      <c r="S69" s="37"/>
      <c r="U69" s="39" t="n">
        <f aca="false">ROUND(H69*100/P69-100,0)</f>
        <v>12</v>
      </c>
      <c r="V69" s="39" t="n">
        <f aca="false">ROUND(K69*100/P69-100,0)</f>
        <v>-5</v>
      </c>
      <c r="W69" s="39" t="n">
        <f aca="false">ROUND(N69*100/P69-100,0)</f>
        <v>-7</v>
      </c>
      <c r="X69" s="85" t="n">
        <f aca="false">P69/1.2</f>
        <v>1021.68</v>
      </c>
      <c r="Y69" s="85" t="n">
        <f aca="false">P69*1.2</f>
        <v>1471.21</v>
      </c>
      <c r="Z69" s="86" t="n">
        <f aca="false">AND((H69)&gt;=MIN(X69),(H69)&lt;=MAX(Y69))</f>
        <v>1</v>
      </c>
      <c r="AA69" s="86" t="n">
        <f aca="false">AND((K69)&gt;=MIN(X69),(K69)&lt;=MAX(Y69))</f>
        <v>1</v>
      </c>
      <c r="AB69" s="86" t="n">
        <f aca="false">AND((N69)&gt;=MIN(X69),(N69)&lt;=MAX(Y69))</f>
        <v>1</v>
      </c>
      <c r="AC69" s="95" t="s">
        <v>828</v>
      </c>
      <c r="AD69" s="88" t="n">
        <f aca="false">1271/1.2*1.042</f>
        <v>1103.65</v>
      </c>
      <c r="AE69" s="88" t="n">
        <f aca="false">AD69*E69</f>
        <v>3310.95</v>
      </c>
      <c r="AF69" s="95" t="s">
        <v>829</v>
      </c>
      <c r="AG69" s="88" t="n">
        <f aca="false">1447.37/1.2*1.042</f>
        <v>1256.8</v>
      </c>
      <c r="AH69" s="89" t="n">
        <f aca="false">AG69*E69</f>
        <v>3770.4</v>
      </c>
      <c r="AI69" s="95" t="s">
        <v>830</v>
      </c>
      <c r="AJ69" s="88" t="n">
        <f aca="false">1490/1.2*1.042</f>
        <v>1293.82</v>
      </c>
      <c r="AK69" s="89" t="n">
        <f aca="false">AJ69*E69</f>
        <v>3881.46</v>
      </c>
      <c r="AL69" s="91" t="n">
        <f aca="false">AVERAGE(AD69,AG69,AJ69)</f>
        <v>1218.09</v>
      </c>
      <c r="AM69" s="91" t="n">
        <f aca="false">((F69-AL69)/AL69)*100</f>
        <v>0.65</v>
      </c>
      <c r="AN69" s="92" t="n">
        <f aca="false">AL69/1.2</f>
        <v>1015.08</v>
      </c>
      <c r="AO69" s="92" t="n">
        <f aca="false">AL69*1.2</f>
        <v>1461.71</v>
      </c>
      <c r="AP69" s="86" t="n">
        <f aca="false">AND((AD69)&gt;=MIN(AN69),(AD69)&lt;=MAX(AO69))</f>
        <v>1</v>
      </c>
      <c r="AQ69" s="86" t="n">
        <f aca="false">AND((AG69)&gt;=MIN(AN69),(AG69)&lt;=MAX(AO69))</f>
        <v>1</v>
      </c>
      <c r="AR69" s="86" t="n">
        <f aca="false">AND((AJ69)&gt;=MIN(AN69),(AJ69)&lt;=MAX(AO69))</f>
        <v>1</v>
      </c>
    </row>
    <row r="70" s="38" customFormat="true" ht="49.5" hidden="false" customHeight="true" outlineLevel="0" collapsed="false">
      <c r="A70" s="28" t="n">
        <v>60</v>
      </c>
      <c r="B70" s="84" t="s">
        <v>831</v>
      </c>
      <c r="C70" s="43" t="s">
        <v>240</v>
      </c>
      <c r="D70" s="44" t="s">
        <v>143</v>
      </c>
      <c r="E70" s="45" t="n">
        <v>1</v>
      </c>
      <c r="F70" s="32" t="n">
        <f aca="false">P70</f>
        <v>3748.79</v>
      </c>
      <c r="G70" s="95" t="s">
        <v>241</v>
      </c>
      <c r="H70" s="47" t="n">
        <f aca="false">4248/1.2*1.05</f>
        <v>3717</v>
      </c>
      <c r="I70" s="47" t="n">
        <f aca="false">E70*H70</f>
        <v>3717</v>
      </c>
      <c r="J70" s="95" t="s">
        <v>242</v>
      </c>
      <c r="K70" s="47" t="n">
        <f aca="false">4240/1.2*1.05</f>
        <v>3710</v>
      </c>
      <c r="L70" s="47" t="n">
        <f aca="false">E70*K70</f>
        <v>3710</v>
      </c>
      <c r="M70" s="95" t="s">
        <v>243</v>
      </c>
      <c r="N70" s="47" t="n">
        <f aca="false">4365/1.2*1.05</f>
        <v>3819.38</v>
      </c>
      <c r="O70" s="47" t="n">
        <f aca="false">E70*N70</f>
        <v>3819.38</v>
      </c>
      <c r="P70" s="48" t="n">
        <f aca="false">AVERAGE(H70,K70,N70)</f>
        <v>3748.79</v>
      </c>
      <c r="Q70" s="36" t="n">
        <f aca="false">F70*100/P70-100</f>
        <v>0</v>
      </c>
      <c r="R70" s="35" t="n">
        <f aca="false">P70*E70</f>
        <v>3748.79</v>
      </c>
      <c r="S70" s="37" t="s">
        <v>244</v>
      </c>
      <c r="U70" s="39" t="n">
        <f aca="false">ROUND(H70*100/P70-100,0)</f>
        <v>-1</v>
      </c>
      <c r="V70" s="39" t="n">
        <f aca="false">ROUND(K70*100/P70-100,0)</f>
        <v>-1</v>
      </c>
      <c r="W70" s="39" t="n">
        <f aca="false">ROUND(N70*100/P70-100,0)</f>
        <v>2</v>
      </c>
      <c r="X70" s="85" t="n">
        <f aca="false">P70/1.2</f>
        <v>3123.99</v>
      </c>
      <c r="Y70" s="85" t="n">
        <f aca="false">P70*1.2</f>
        <v>4498.55</v>
      </c>
      <c r="Z70" s="86" t="n">
        <f aca="false">AND((H70)&gt;=MIN(X70),(H70)&lt;=MAX(Y70))</f>
        <v>1</v>
      </c>
      <c r="AA70" s="86" t="n">
        <f aca="false">AND((K70)&gt;=MIN(X70),(K70)&lt;=MAX(Y70))</f>
        <v>1</v>
      </c>
      <c r="AB70" s="86" t="n">
        <f aca="false">AND((N70)&gt;=MIN(X70),(N70)&lt;=MAX(Y70))</f>
        <v>1</v>
      </c>
      <c r="AC70" s="95" t="s">
        <v>832</v>
      </c>
      <c r="AD70" s="88" t="n">
        <f aca="false">6985.94/2/1.2*1.05</f>
        <v>3056.35</v>
      </c>
      <c r="AE70" s="88" t="n">
        <f aca="false">AD70*E70</f>
        <v>3056.35</v>
      </c>
      <c r="AF70" s="95" t="s">
        <v>833</v>
      </c>
      <c r="AG70" s="88" t="n">
        <f aca="false">6550.58/2/1.2*1.05</f>
        <v>2865.88</v>
      </c>
      <c r="AH70" s="89" t="n">
        <f aca="false">AG70*E70</f>
        <v>2865.88</v>
      </c>
      <c r="AI70" s="95" t="s">
        <v>834</v>
      </c>
      <c r="AJ70" s="88" t="n">
        <f aca="false">8795/2/1.2*1.05</f>
        <v>3847.81</v>
      </c>
      <c r="AK70" s="89" t="n">
        <f aca="false">AJ70*E70</f>
        <v>3847.81</v>
      </c>
      <c r="AL70" s="91" t="n">
        <f aca="false">AVERAGE(AD70,AG70,AJ70)</f>
        <v>3256.68</v>
      </c>
      <c r="AM70" s="91" t="n">
        <f aca="false">((F70-AL70)/AL70)*100</f>
        <v>15.11</v>
      </c>
      <c r="AN70" s="92" t="n">
        <f aca="false">AL70/1.2</f>
        <v>2713.9</v>
      </c>
      <c r="AO70" s="92" t="n">
        <f aca="false">AL70*1.2</f>
        <v>3908.02</v>
      </c>
      <c r="AP70" s="86" t="n">
        <f aca="false">AND((AD70)&gt;=MIN(AN70),(AD70)&lt;=MAX(AO70))</f>
        <v>1</v>
      </c>
      <c r="AQ70" s="86" t="n">
        <f aca="false">AND((AG70)&gt;=MIN(AN70),(AG70)&lt;=MAX(AO70))</f>
        <v>1</v>
      </c>
      <c r="AR70" s="86" t="n">
        <f aca="false">AND((AJ70)&gt;=MIN(AN70),(AJ70)&lt;=MAX(AO70))</f>
        <v>1</v>
      </c>
    </row>
    <row r="71" s="38" customFormat="true" ht="49.5" hidden="false" customHeight="true" outlineLevel="0" collapsed="false">
      <c r="A71" s="28" t="n">
        <v>61</v>
      </c>
      <c r="B71" s="99"/>
      <c r="C71" s="43" t="s">
        <v>245</v>
      </c>
      <c r="D71" s="44" t="s">
        <v>143</v>
      </c>
      <c r="E71" s="45" t="n">
        <v>2</v>
      </c>
      <c r="F71" s="32" t="n">
        <f aca="false">P71</f>
        <v>791.59</v>
      </c>
      <c r="G71" s="42" t="s">
        <v>246</v>
      </c>
      <c r="H71" s="34" t="n">
        <f aca="false">925/1.2*1.05</f>
        <v>809.38</v>
      </c>
      <c r="I71" s="34" t="n">
        <f aca="false">E71*H71</f>
        <v>1618.76</v>
      </c>
      <c r="J71" s="46" t="s">
        <v>247</v>
      </c>
      <c r="K71" s="34" t="n">
        <f aca="false">880/1.2*1.05</f>
        <v>770</v>
      </c>
      <c r="L71" s="34" t="n">
        <f aca="false">E71*K71</f>
        <v>1540</v>
      </c>
      <c r="M71" s="42" t="s">
        <v>248</v>
      </c>
      <c r="N71" s="34" t="n">
        <f aca="false">909/1.2*1.05</f>
        <v>795.38</v>
      </c>
      <c r="O71" s="34" t="n">
        <f aca="false">E71*N71</f>
        <v>1590.76</v>
      </c>
      <c r="P71" s="35" t="n">
        <f aca="false">AVERAGE(H71,K71,N71)</f>
        <v>791.59</v>
      </c>
      <c r="Q71" s="36" t="n">
        <f aca="false">F71*100/P71-100</f>
        <v>0</v>
      </c>
      <c r="R71" s="35" t="n">
        <f aca="false">P71*E71</f>
        <v>1583.18</v>
      </c>
      <c r="S71" s="37"/>
      <c r="U71" s="39" t="n">
        <f aca="false">ROUND(H71*100/P71-100,0)</f>
        <v>2</v>
      </c>
      <c r="V71" s="39" t="n">
        <f aca="false">ROUND(K71*100/P71-100,0)</f>
        <v>-3</v>
      </c>
      <c r="W71" s="39" t="n">
        <f aca="false">ROUND(N71*100/P71-100,0)</f>
        <v>0</v>
      </c>
      <c r="X71" s="85" t="n">
        <f aca="false">P71/1.2</f>
        <v>659.66</v>
      </c>
      <c r="Y71" s="85" t="n">
        <f aca="false">P71*1.2</f>
        <v>949.91</v>
      </c>
      <c r="Z71" s="86" t="n">
        <f aca="false">AND((H71)&gt;=MIN(X71),(H71)&lt;=MAX(Y71))</f>
        <v>1</v>
      </c>
      <c r="AA71" s="86" t="n">
        <f aca="false">AND((K71)&gt;=MIN(X71),(K71)&lt;=MAX(Y71))</f>
        <v>1</v>
      </c>
      <c r="AB71" s="86" t="n">
        <f aca="false">AND((N71)&gt;=MIN(X71),(N71)&lt;=MAX(Y71))</f>
        <v>1</v>
      </c>
      <c r="AC71" s="95" t="s">
        <v>835</v>
      </c>
      <c r="AD71" s="88" t="n">
        <f aca="false">1130/1.2*1.05</f>
        <v>988.75</v>
      </c>
      <c r="AE71" s="88" t="n">
        <f aca="false">AD71*E71</f>
        <v>1977.5</v>
      </c>
      <c r="AF71" s="95" t="s">
        <v>836</v>
      </c>
      <c r="AG71" s="88" t="n">
        <f aca="false">925/1.2*1.05</f>
        <v>809.38</v>
      </c>
      <c r="AH71" s="89" t="n">
        <f aca="false">AG71*E71</f>
        <v>1618.76</v>
      </c>
      <c r="AI71" s="95" t="s">
        <v>837</v>
      </c>
      <c r="AJ71" s="88" t="n">
        <f aca="false">896/1.2*1.05</f>
        <v>784</v>
      </c>
      <c r="AK71" s="89" t="n">
        <f aca="false">AJ71*E71</f>
        <v>1568</v>
      </c>
      <c r="AL71" s="91" t="n">
        <f aca="false">AVERAGE(AD71,AG71,AJ71)</f>
        <v>860.71</v>
      </c>
      <c r="AM71" s="91" t="n">
        <f aca="false">((F71-AL71)/AL71)*100</f>
        <v>-8.03</v>
      </c>
      <c r="AN71" s="92" t="n">
        <f aca="false">AL71/1.2</f>
        <v>717.26</v>
      </c>
      <c r="AO71" s="92" t="n">
        <f aca="false">AL71*1.2</f>
        <v>1032.85</v>
      </c>
      <c r="AP71" s="86" t="n">
        <f aca="false">AND((AD71)&gt;=MIN(AN71),(AD71)&lt;=MAX(AO71))</f>
        <v>1</v>
      </c>
      <c r="AQ71" s="86" t="n">
        <f aca="false">AND((AG71)&gt;=MIN(AN71),(AG71)&lt;=MAX(AO71))</f>
        <v>1</v>
      </c>
      <c r="AR71" s="86" t="n">
        <f aca="false">AND((AJ71)&gt;=MIN(AN71),(AJ71)&lt;=MAX(AO71))</f>
        <v>1</v>
      </c>
    </row>
    <row r="72" s="38" customFormat="true" ht="38.25" hidden="false" customHeight="true" outlineLevel="0" collapsed="false">
      <c r="A72" s="28" t="n">
        <v>62</v>
      </c>
      <c r="B72" s="99"/>
      <c r="C72" s="43" t="s">
        <v>249</v>
      </c>
      <c r="D72" s="44" t="s">
        <v>143</v>
      </c>
      <c r="E72" s="45" t="n">
        <v>1</v>
      </c>
      <c r="F72" s="32" t="n">
        <f aca="false">P72</f>
        <v>1247.17</v>
      </c>
      <c r="G72" s="42" t="s">
        <v>250</v>
      </c>
      <c r="H72" s="34" t="n">
        <f aca="false">1586/1.2*1.05</f>
        <v>1387.75</v>
      </c>
      <c r="I72" s="34" t="n">
        <f aca="false">E72*H72</f>
        <v>1387.75</v>
      </c>
      <c r="J72" s="42" t="s">
        <v>251</v>
      </c>
      <c r="K72" s="34" t="n">
        <f aca="false">1453/1.2*1.05</f>
        <v>1271.38</v>
      </c>
      <c r="L72" s="34" t="n">
        <f aca="false">E72*K72</f>
        <v>1271.38</v>
      </c>
      <c r="M72" s="42" t="s">
        <v>252</v>
      </c>
      <c r="N72" s="34" t="n">
        <f aca="false">1237/1.2*1.05</f>
        <v>1082.38</v>
      </c>
      <c r="O72" s="34" t="n">
        <f aca="false">E72*N72</f>
        <v>1082.38</v>
      </c>
      <c r="P72" s="35" t="n">
        <f aca="false">AVERAGE(H72,K72,N72)</f>
        <v>1247.17</v>
      </c>
      <c r="Q72" s="36" t="n">
        <f aca="false">F72*100/P72-100</f>
        <v>0</v>
      </c>
      <c r="R72" s="35" t="n">
        <f aca="false">P72*E72</f>
        <v>1247.17</v>
      </c>
      <c r="S72" s="37"/>
      <c r="U72" s="39" t="n">
        <f aca="false">ROUND(H72*100/P72-100,0)</f>
        <v>11</v>
      </c>
      <c r="V72" s="39" t="n">
        <f aca="false">ROUND(K72*100/P72-100,0)</f>
        <v>2</v>
      </c>
      <c r="W72" s="39" t="n">
        <f aca="false">ROUND(N72*100/P72-100,0)</f>
        <v>-13</v>
      </c>
      <c r="X72" s="85" t="n">
        <f aca="false">P72/1.2</f>
        <v>1039.31</v>
      </c>
      <c r="Y72" s="85" t="n">
        <f aca="false">P72*1.2</f>
        <v>1496.6</v>
      </c>
      <c r="Z72" s="86" t="n">
        <f aca="false">AND((H72)&gt;=MIN(X72),(H72)&lt;=MAX(Y72))</f>
        <v>1</v>
      </c>
      <c r="AA72" s="86" t="n">
        <f aca="false">AND((K72)&gt;=MIN(X72),(K72)&lt;=MAX(Y72))</f>
        <v>1</v>
      </c>
      <c r="AB72" s="86" t="n">
        <f aca="false">AND((N72)&gt;=MIN(X72),(N72)&lt;=MAX(Y72))</f>
        <v>1</v>
      </c>
      <c r="AC72" s="95" t="s">
        <v>838</v>
      </c>
      <c r="AD72" s="88" t="n">
        <f aca="false">1586/1.2*1.05</f>
        <v>1387.75</v>
      </c>
      <c r="AE72" s="88" t="n">
        <f aca="false">AD72*E72</f>
        <v>1387.75</v>
      </c>
      <c r="AF72" s="95" t="s">
        <v>839</v>
      </c>
      <c r="AG72" s="88" t="n">
        <f aca="false">1784.8/1.2*1.05</f>
        <v>1561.7</v>
      </c>
      <c r="AH72" s="89" t="n">
        <f aca="false">AG72*E72</f>
        <v>1561.7</v>
      </c>
      <c r="AI72" s="95" t="s">
        <v>840</v>
      </c>
      <c r="AJ72" s="88" t="n">
        <f aca="false">1586.45/1.2*1.05</f>
        <v>1388.14</v>
      </c>
      <c r="AK72" s="89" t="n">
        <f aca="false">AJ72*E72</f>
        <v>1388.14</v>
      </c>
      <c r="AL72" s="91" t="n">
        <f aca="false">AVERAGE(AD72,AG72,AJ72)</f>
        <v>1445.86</v>
      </c>
      <c r="AM72" s="91" t="n">
        <f aca="false">((F72-AL72)/AL72)*100</f>
        <v>-13.74</v>
      </c>
      <c r="AN72" s="92" t="n">
        <f aca="false">AL72/1.2</f>
        <v>1204.88</v>
      </c>
      <c r="AO72" s="92" t="n">
        <f aca="false">AL72*1.2</f>
        <v>1735.03</v>
      </c>
      <c r="AP72" s="86" t="n">
        <f aca="false">AND((AD72)&gt;=MIN(AN72),(AD72)&lt;=MAX(AO72))</f>
        <v>1</v>
      </c>
      <c r="AQ72" s="86" t="n">
        <f aca="false">AND((AG72)&gt;=MIN(AN72),(AG72)&lt;=MAX(AO72))</f>
        <v>1</v>
      </c>
      <c r="AR72" s="86" t="n">
        <f aca="false">AND((AJ72)&gt;=MIN(AN72),(AJ72)&lt;=MAX(AO72))</f>
        <v>1</v>
      </c>
    </row>
    <row r="73" s="38" customFormat="true" ht="38.25" hidden="false" customHeight="true" outlineLevel="0" collapsed="false">
      <c r="A73" s="28" t="n">
        <v>63</v>
      </c>
      <c r="B73" s="99"/>
      <c r="C73" s="43" t="s">
        <v>253</v>
      </c>
      <c r="D73" s="44" t="s">
        <v>143</v>
      </c>
      <c r="E73" s="45" t="n">
        <v>4</v>
      </c>
      <c r="F73" s="32" t="n">
        <f aca="false">P73</f>
        <v>461.85</v>
      </c>
      <c r="G73" s="49" t="s">
        <v>254</v>
      </c>
      <c r="H73" s="34" t="n">
        <f aca="false">1047/2/1.2*1.05</f>
        <v>458.06</v>
      </c>
      <c r="I73" s="34" t="n">
        <f aca="false">E73*H73</f>
        <v>1832.24</v>
      </c>
      <c r="J73" s="42" t="s">
        <v>255</v>
      </c>
      <c r="K73" s="34" t="n">
        <f aca="false">558/1.2*1.05</f>
        <v>488.25</v>
      </c>
      <c r="L73" s="34" t="n">
        <f aca="false">E73*K73</f>
        <v>1953</v>
      </c>
      <c r="M73" s="42" t="s">
        <v>256</v>
      </c>
      <c r="N73" s="34" t="n">
        <f aca="false">502/1.2*1.05</f>
        <v>439.25</v>
      </c>
      <c r="O73" s="34" t="n">
        <f aca="false">E73*N73</f>
        <v>1757</v>
      </c>
      <c r="P73" s="35" t="n">
        <f aca="false">AVERAGE(H73,K73,N73)</f>
        <v>461.85</v>
      </c>
      <c r="Q73" s="36" t="n">
        <f aca="false">F73*100/P73-100</f>
        <v>0</v>
      </c>
      <c r="R73" s="35" t="n">
        <f aca="false">P73*E73</f>
        <v>1847.4</v>
      </c>
      <c r="S73" s="37"/>
      <c r="U73" s="39" t="n">
        <f aca="false">ROUND(H73*100/P73-100,0)</f>
        <v>-1</v>
      </c>
      <c r="V73" s="39" t="n">
        <f aca="false">ROUND(K73*100/P73-100,0)</f>
        <v>6</v>
      </c>
      <c r="W73" s="39" t="n">
        <f aca="false">ROUND(N73*100/P73-100,0)</f>
        <v>-5</v>
      </c>
      <c r="X73" s="85" t="n">
        <f aca="false">P73/1.2</f>
        <v>384.88</v>
      </c>
      <c r="Y73" s="85" t="n">
        <f aca="false">P73*1.2</f>
        <v>554.22</v>
      </c>
      <c r="Z73" s="86" t="n">
        <f aca="false">AND((H73)&gt;=MIN(X73),(H73)&lt;=MAX(Y73))</f>
        <v>1</v>
      </c>
      <c r="AA73" s="86" t="n">
        <f aca="false">AND((K73)&gt;=MIN(X73),(K73)&lt;=MAX(Y73))</f>
        <v>1</v>
      </c>
      <c r="AB73" s="86" t="n">
        <f aca="false">AND((N73)&gt;=MIN(X73),(N73)&lt;=MAX(Y73))</f>
        <v>1</v>
      </c>
      <c r="AC73" s="95" t="s">
        <v>841</v>
      </c>
      <c r="AD73" s="88" t="n">
        <f aca="false">530/1.2*1.05</f>
        <v>463.75</v>
      </c>
      <c r="AE73" s="88" t="n">
        <f aca="false">AD73*E73</f>
        <v>1855</v>
      </c>
      <c r="AF73" s="95" t="s">
        <v>841</v>
      </c>
      <c r="AG73" s="88" t="n">
        <f aca="false">541/1.2*1.05</f>
        <v>473.38</v>
      </c>
      <c r="AH73" s="89" t="n">
        <f aca="false">AG73*E73</f>
        <v>1893.52</v>
      </c>
      <c r="AI73" s="95" t="s">
        <v>842</v>
      </c>
      <c r="AJ73" s="88" t="n">
        <f aca="false">510/1.2*1.05</f>
        <v>446.25</v>
      </c>
      <c r="AK73" s="89" t="n">
        <f aca="false">AJ73*E73</f>
        <v>1785</v>
      </c>
      <c r="AL73" s="91" t="n">
        <f aca="false">AVERAGE(AD73,AG73,AJ73)</f>
        <v>461.13</v>
      </c>
      <c r="AM73" s="91" t="n">
        <f aca="false">((F73-AL73)/AL73)*100</f>
        <v>0.16</v>
      </c>
      <c r="AN73" s="92" t="n">
        <f aca="false">AL73/1.2</f>
        <v>384.28</v>
      </c>
      <c r="AO73" s="92" t="n">
        <f aca="false">AL73*1.2</f>
        <v>553.36</v>
      </c>
      <c r="AP73" s="86" t="n">
        <f aca="false">AND((AD73)&gt;=MIN(AN73),(AD73)&lt;=MAX(AO73))</f>
        <v>1</v>
      </c>
      <c r="AQ73" s="86" t="n">
        <f aca="false">AND((AG73)&gt;=MIN(AN73),(AG73)&lt;=MAX(AO73))</f>
        <v>1</v>
      </c>
      <c r="AR73" s="86" t="n">
        <f aca="false">AND((AJ73)&gt;=MIN(AN73),(AJ73)&lt;=MAX(AO73))</f>
        <v>1</v>
      </c>
    </row>
    <row r="74" s="38" customFormat="true" ht="51" hidden="false" customHeight="true" outlineLevel="0" collapsed="false">
      <c r="A74" s="28" t="n">
        <v>64</v>
      </c>
      <c r="B74" s="102" t="s">
        <v>843</v>
      </c>
      <c r="C74" s="43" t="s">
        <v>257</v>
      </c>
      <c r="D74" s="44" t="s">
        <v>143</v>
      </c>
      <c r="E74" s="45" t="n">
        <v>1</v>
      </c>
      <c r="F74" s="32" t="n">
        <f aca="false">P74</f>
        <v>1400.88</v>
      </c>
      <c r="G74" s="42" t="s">
        <v>258</v>
      </c>
      <c r="H74" s="47" t="n">
        <f aca="false">1633/1.2*1.05</f>
        <v>1428.88</v>
      </c>
      <c r="I74" s="47" t="n">
        <f aca="false">E74*H74</f>
        <v>1428.88</v>
      </c>
      <c r="J74" s="42" t="s">
        <v>259</v>
      </c>
      <c r="K74" s="47" t="n">
        <f aca="false">1679/1.2*1.05</f>
        <v>1469.13</v>
      </c>
      <c r="L74" s="47" t="n">
        <f aca="false">E74*K74</f>
        <v>1469.13</v>
      </c>
      <c r="M74" s="42" t="s">
        <v>260</v>
      </c>
      <c r="N74" s="47" t="n">
        <f aca="false">1491/1.2*1.05</f>
        <v>1304.63</v>
      </c>
      <c r="O74" s="47" t="n">
        <f aca="false">E74*N74</f>
        <v>1304.63</v>
      </c>
      <c r="P74" s="48" t="n">
        <f aca="false">AVERAGE(H74,K74,N74)</f>
        <v>1400.88</v>
      </c>
      <c r="Q74" s="36" t="n">
        <f aca="false">F74*100/P74-100</f>
        <v>0</v>
      </c>
      <c r="R74" s="35" t="n">
        <f aca="false">P74*E74</f>
        <v>1400.88</v>
      </c>
      <c r="S74" s="37" t="s">
        <v>261</v>
      </c>
      <c r="U74" s="39" t="n">
        <f aca="false">ROUND(H74*100/P74-100,0)</f>
        <v>2</v>
      </c>
      <c r="V74" s="39" t="n">
        <f aca="false">ROUND(K74*100/P74-100,0)</f>
        <v>5</v>
      </c>
      <c r="W74" s="39" t="n">
        <f aca="false">ROUND(N74*100/P74-100,0)</f>
        <v>-7</v>
      </c>
      <c r="X74" s="85" t="n">
        <f aca="false">P74/1.2</f>
        <v>1167.4</v>
      </c>
      <c r="Y74" s="85" t="n">
        <f aca="false">P74*1.2</f>
        <v>1681.06</v>
      </c>
      <c r="Z74" s="86" t="n">
        <f aca="false">AND((H74)&gt;=MIN(X74),(H74)&lt;=MAX(Y74))</f>
        <v>1</v>
      </c>
      <c r="AA74" s="86" t="n">
        <f aca="false">AND((K74)&gt;=MIN(X74),(K74)&lt;=MAX(Y74))</f>
        <v>1</v>
      </c>
      <c r="AB74" s="86" t="n">
        <f aca="false">AND((N74)&gt;=MIN(X74),(N74)&lt;=MAX(Y74))</f>
        <v>1</v>
      </c>
      <c r="AC74" s="103" t="s">
        <v>844</v>
      </c>
      <c r="AD74" s="88"/>
      <c r="AE74" s="88" t="n">
        <f aca="false">AD74*E74</f>
        <v>0</v>
      </c>
      <c r="AF74" s="103" t="s">
        <v>844</v>
      </c>
      <c r="AG74" s="88"/>
      <c r="AH74" s="89" t="n">
        <f aca="false">AG74*E74</f>
        <v>0</v>
      </c>
      <c r="AI74" s="103" t="s">
        <v>844</v>
      </c>
      <c r="AJ74" s="88"/>
      <c r="AK74" s="89" t="n">
        <f aca="false">AJ74*E74</f>
        <v>0</v>
      </c>
      <c r="AL74" s="91" t="e">
        <f aca="false">AVERAGE(AD74,AG74,AJ74)</f>
        <v>#DIV/0!</v>
      </c>
      <c r="AM74" s="91" t="e">
        <f aca="false">((F74-AL74)/AL74)*100</f>
        <v>#DIV/0!</v>
      </c>
      <c r="AN74" s="92" t="e">
        <f aca="false">AL74/1.2</f>
        <v>#DIV/0!</v>
      </c>
      <c r="AO74" s="92" t="e">
        <f aca="false">AL74*1.2</f>
        <v>#DIV/0!</v>
      </c>
      <c r="AP74" s="86" t="e">
        <f aca="false">AND((AD74)&gt;=MIN(AN74),(AD74)&lt;=MAX(AO74))</f>
        <v>#DIV/0!</v>
      </c>
      <c r="AQ74" s="86" t="e">
        <f aca="false">AND((AG74)&gt;=MIN(AN74),(AG74)&lt;=MAX(AO74))</f>
        <v>#DIV/0!</v>
      </c>
      <c r="AR74" s="86" t="e">
        <f aca="false">AND((AJ74)&gt;=MIN(AN74),(AJ74)&lt;=MAX(AO74))</f>
        <v>#DIV/0!</v>
      </c>
    </row>
    <row r="75" s="38" customFormat="true" ht="33.75" hidden="false" customHeight="true" outlineLevel="0" collapsed="false">
      <c r="A75" s="28" t="n">
        <v>65</v>
      </c>
      <c r="B75" s="97" t="s">
        <v>845</v>
      </c>
      <c r="C75" s="43" t="s">
        <v>262</v>
      </c>
      <c r="D75" s="44" t="s">
        <v>143</v>
      </c>
      <c r="E75" s="45" t="n">
        <v>5</v>
      </c>
      <c r="F75" s="32" t="n">
        <f aca="false">P75</f>
        <v>5502.64</v>
      </c>
      <c r="G75" s="42" t="s">
        <v>263</v>
      </c>
      <c r="H75" s="47" t="n">
        <f aca="false">6500/1.2*1.05</f>
        <v>5687.5</v>
      </c>
      <c r="I75" s="47" t="n">
        <f aca="false">E75*H75</f>
        <v>28437.5</v>
      </c>
      <c r="J75" s="42" t="s">
        <v>264</v>
      </c>
      <c r="K75" s="47" t="n">
        <f aca="false">6520/1.2*1.05</f>
        <v>5705</v>
      </c>
      <c r="L75" s="47" t="n">
        <f aca="false">E75*K75</f>
        <v>28525</v>
      </c>
      <c r="M75" s="42" t="s">
        <v>265</v>
      </c>
      <c r="N75" s="47" t="n">
        <f aca="false">5846.19/1.2*1.05</f>
        <v>5115.42</v>
      </c>
      <c r="O75" s="47" t="n">
        <f aca="false">E75*N75</f>
        <v>25577.1</v>
      </c>
      <c r="P75" s="48" t="n">
        <f aca="false">AVERAGE(H75,K75,N75)</f>
        <v>5502.64</v>
      </c>
      <c r="Q75" s="36" t="n">
        <f aca="false">F75*100/P75-100</f>
        <v>0</v>
      </c>
      <c r="R75" s="35" t="n">
        <f aca="false">P75*E75</f>
        <v>27513.2</v>
      </c>
      <c r="S75" s="37"/>
      <c r="U75" s="39" t="n">
        <f aca="false">ROUND(H75*100/P75-100,0)</f>
        <v>3</v>
      </c>
      <c r="V75" s="39" t="n">
        <f aca="false">ROUND(K75*100/P75-100,0)</f>
        <v>4</v>
      </c>
      <c r="W75" s="39" t="n">
        <f aca="false">ROUND(N75*100/P75-100,0)</f>
        <v>-7</v>
      </c>
      <c r="X75" s="85" t="n">
        <f aca="false">P75/1.2</f>
        <v>4585.53</v>
      </c>
      <c r="Y75" s="85" t="n">
        <f aca="false">P75*1.2</f>
        <v>6603.17</v>
      </c>
      <c r="Z75" s="86" t="n">
        <f aca="false">AND((H75)&gt;=MIN(X75),(H75)&lt;=MAX(Y75))</f>
        <v>1</v>
      </c>
      <c r="AA75" s="86" t="n">
        <f aca="false">AND((K75)&gt;=MIN(X75),(K75)&lt;=MAX(Y75))</f>
        <v>1</v>
      </c>
      <c r="AB75" s="86" t="n">
        <f aca="false">AND((N75)&gt;=MIN(X75),(N75)&lt;=MAX(Y75))</f>
        <v>1</v>
      </c>
      <c r="AC75" s="95"/>
      <c r="AD75" s="88"/>
      <c r="AE75" s="88" t="n">
        <f aca="false">AD75*E75</f>
        <v>0</v>
      </c>
      <c r="AF75" s="95"/>
      <c r="AG75" s="88"/>
      <c r="AH75" s="89" t="n">
        <f aca="false">AG75*E75</f>
        <v>0</v>
      </c>
      <c r="AI75" s="95"/>
      <c r="AJ75" s="88"/>
      <c r="AK75" s="89" t="n">
        <f aca="false">AJ75*E75</f>
        <v>0</v>
      </c>
      <c r="AL75" s="91" t="e">
        <f aca="false">AVERAGE(AD75,AG75,AJ75)</f>
        <v>#DIV/0!</v>
      </c>
      <c r="AM75" s="91" t="e">
        <f aca="false">((F75-AL75)/AL75)*100</f>
        <v>#DIV/0!</v>
      </c>
      <c r="AN75" s="92" t="e">
        <f aca="false">AL75/1.2</f>
        <v>#DIV/0!</v>
      </c>
      <c r="AO75" s="92" t="e">
        <f aca="false">AL75*1.2</f>
        <v>#DIV/0!</v>
      </c>
      <c r="AP75" s="86" t="e">
        <f aca="false">AND((AD75)&gt;=MIN(AN75),(AD75)&lt;=MAX(AO75))</f>
        <v>#DIV/0!</v>
      </c>
      <c r="AQ75" s="86" t="e">
        <f aca="false">AND((AG75)&gt;=MIN(AN75),(AG75)&lt;=MAX(AO75))</f>
        <v>#DIV/0!</v>
      </c>
      <c r="AR75" s="86" t="e">
        <f aca="false">AND((AJ75)&gt;=MIN(AN75),(AJ75)&lt;=MAX(AO75))</f>
        <v>#DIV/0!</v>
      </c>
    </row>
    <row r="76" s="38" customFormat="true" ht="42" hidden="false" customHeight="true" outlineLevel="0" collapsed="false">
      <c r="A76" s="28" t="n">
        <v>66</v>
      </c>
      <c r="B76" s="100" t="s">
        <v>846</v>
      </c>
      <c r="C76" s="43" t="s">
        <v>266</v>
      </c>
      <c r="D76" s="44" t="s">
        <v>143</v>
      </c>
      <c r="E76" s="45" t="n">
        <v>4</v>
      </c>
      <c r="F76" s="32" t="n">
        <f aca="false">P76</f>
        <v>3644.67</v>
      </c>
      <c r="G76" s="42" t="s">
        <v>267</v>
      </c>
      <c r="H76" s="47" t="n">
        <f aca="false">3789/1.2*1.05</f>
        <v>3315.38</v>
      </c>
      <c r="I76" s="47" t="n">
        <f aca="false">E76*H76</f>
        <v>13261.52</v>
      </c>
      <c r="J76" s="49" t="s">
        <v>268</v>
      </c>
      <c r="K76" s="47" t="n">
        <f aca="false">4921/1.2*1.05</f>
        <v>4305.88</v>
      </c>
      <c r="L76" s="47" t="n">
        <f aca="false">E76*K76</f>
        <v>17223.52</v>
      </c>
      <c r="M76" s="42" t="s">
        <v>269</v>
      </c>
      <c r="N76" s="47" t="n">
        <f aca="false">3786/1.2*1.05</f>
        <v>3312.75</v>
      </c>
      <c r="O76" s="47" t="n">
        <f aca="false">E76*N76</f>
        <v>13251</v>
      </c>
      <c r="P76" s="35" t="n">
        <f aca="false">AVERAGE(H76,K76,N76)</f>
        <v>3644.67</v>
      </c>
      <c r="Q76" s="36" t="n">
        <f aca="false">F76*100/P76-100</f>
        <v>0</v>
      </c>
      <c r="R76" s="35" t="n">
        <f aca="false">P76*E76</f>
        <v>14578.68</v>
      </c>
      <c r="S76" s="37"/>
      <c r="U76" s="39" t="n">
        <f aca="false">ROUND(H76*100/P76-100,0)</f>
        <v>-9</v>
      </c>
      <c r="V76" s="39" t="n">
        <f aca="false">ROUND(K76*100/P76-100,0)</f>
        <v>18</v>
      </c>
      <c r="W76" s="39" t="n">
        <f aca="false">ROUND(N76*100/P76-100,0)</f>
        <v>-9</v>
      </c>
      <c r="X76" s="85" t="n">
        <f aca="false">P76/1.2</f>
        <v>3037.23</v>
      </c>
      <c r="Y76" s="85" t="n">
        <f aca="false">P76*1.2</f>
        <v>4373.6</v>
      </c>
      <c r="Z76" s="86" t="n">
        <f aca="false">AND((H76)&gt;=MIN(X76),(H76)&lt;=MAX(Y76))</f>
        <v>1</v>
      </c>
      <c r="AA76" s="86" t="n">
        <f aca="false">AND((K76)&gt;=MIN(X76),(K76)&lt;=MAX(Y76))</f>
        <v>1</v>
      </c>
      <c r="AB76" s="86" t="n">
        <f aca="false">AND((N76)&gt;=MIN(X76),(N76)&lt;=MAX(Y76))</f>
        <v>1</v>
      </c>
      <c r="AC76" s="95" t="s">
        <v>847</v>
      </c>
      <c r="AD76" s="88" t="n">
        <f aca="false">5037/1.2*1.05</f>
        <v>4407.38</v>
      </c>
      <c r="AE76" s="88" t="n">
        <f aca="false">AD76*E76</f>
        <v>17629.52</v>
      </c>
      <c r="AF76" s="95" t="s">
        <v>848</v>
      </c>
      <c r="AG76" s="88" t="n">
        <f aca="false">5037/1.2*1.05</f>
        <v>4407.38</v>
      </c>
      <c r="AH76" s="89" t="n">
        <f aca="false">AG76*E76</f>
        <v>17629.52</v>
      </c>
      <c r="AI76" s="95" t="s">
        <v>849</v>
      </c>
      <c r="AJ76" s="88" t="n">
        <f aca="false">4606.53/1.2*1.05</f>
        <v>4030.71</v>
      </c>
      <c r="AK76" s="89" t="n">
        <f aca="false">AJ76*E76</f>
        <v>16122.84</v>
      </c>
      <c r="AL76" s="91" t="n">
        <f aca="false">AVERAGE(AD76,AG76,AJ76)</f>
        <v>4281.82</v>
      </c>
      <c r="AM76" s="91" t="n">
        <f aca="false">((F76-AL76)/AL76)*100</f>
        <v>-14.88</v>
      </c>
      <c r="AN76" s="92" t="n">
        <f aca="false">AL76/1.2</f>
        <v>3568.18</v>
      </c>
      <c r="AO76" s="92" t="n">
        <f aca="false">AL76*1.2</f>
        <v>5138.18</v>
      </c>
      <c r="AP76" s="86" t="n">
        <f aca="false">AND((AD76)&gt;=MIN(AN76),(AD76)&lt;=MAX(AO76))</f>
        <v>1</v>
      </c>
      <c r="AQ76" s="86" t="n">
        <f aca="false">AND((AG76)&gt;=MIN(AN76),(AG76)&lt;=MAX(AO76))</f>
        <v>1</v>
      </c>
      <c r="AR76" s="86" t="n">
        <f aca="false">AND((AJ76)&gt;=MIN(AN76),(AJ76)&lt;=MAX(AO76))</f>
        <v>1</v>
      </c>
    </row>
    <row r="77" s="38" customFormat="true" ht="39" hidden="false" customHeight="true" outlineLevel="0" collapsed="false">
      <c r="A77" s="28" t="n">
        <v>67</v>
      </c>
      <c r="B77" s="99"/>
      <c r="C77" s="43" t="s">
        <v>270</v>
      </c>
      <c r="D77" s="44" t="s">
        <v>143</v>
      </c>
      <c r="E77" s="45" t="n">
        <v>1</v>
      </c>
      <c r="F77" s="32" t="n">
        <f aca="false">P77</f>
        <v>3376.63</v>
      </c>
      <c r="G77" s="42" t="s">
        <v>271</v>
      </c>
      <c r="H77" s="34" t="n">
        <f aca="false">3761/1.2*1.05</f>
        <v>3290.88</v>
      </c>
      <c r="I77" s="34" t="n">
        <f aca="false">E77*H77</f>
        <v>3290.88</v>
      </c>
      <c r="J77" s="42" t="s">
        <v>272</v>
      </c>
      <c r="K77" s="34" t="n">
        <f aca="false">4030/1.2*1.05</f>
        <v>3526.25</v>
      </c>
      <c r="L77" s="34" t="n">
        <f aca="false">E77*K77</f>
        <v>3526.25</v>
      </c>
      <c r="M77" s="42" t="s">
        <v>273</v>
      </c>
      <c r="N77" s="34" t="n">
        <f aca="false">3786/1.2*1.05</f>
        <v>3312.75</v>
      </c>
      <c r="O77" s="34" t="n">
        <f aca="false">E77*N77</f>
        <v>3312.75</v>
      </c>
      <c r="P77" s="35" t="n">
        <f aca="false">AVERAGE(H77,K77,N77)</f>
        <v>3376.63</v>
      </c>
      <c r="Q77" s="36" t="n">
        <f aca="false">F77*100/P77-100</f>
        <v>0</v>
      </c>
      <c r="R77" s="35" t="n">
        <f aca="false">P77*E77</f>
        <v>3376.63</v>
      </c>
      <c r="S77" s="37"/>
      <c r="U77" s="39" t="n">
        <f aca="false">ROUND(H77*100/P77-100,0)</f>
        <v>-3</v>
      </c>
      <c r="V77" s="39" t="n">
        <f aca="false">ROUND(K77*100/P77-100,0)</f>
        <v>4</v>
      </c>
      <c r="W77" s="39" t="n">
        <f aca="false">ROUND(N77*100/P77-100,0)</f>
        <v>-2</v>
      </c>
      <c r="X77" s="85" t="n">
        <f aca="false">P77/1.2</f>
        <v>2813.86</v>
      </c>
      <c r="Y77" s="85" t="n">
        <f aca="false">P77*1.2</f>
        <v>4051.96</v>
      </c>
      <c r="Z77" s="86" t="n">
        <f aca="false">AND((H77)&gt;=MIN(X77),(H77)&lt;=MAX(Y77))</f>
        <v>1</v>
      </c>
      <c r="AA77" s="86" t="n">
        <f aca="false">AND((K77)&gt;=MIN(X77),(K77)&lt;=MAX(Y77))</f>
        <v>1</v>
      </c>
      <c r="AB77" s="86" t="n">
        <f aca="false">AND((N77)&gt;=MIN(X77),(N77)&lt;=MAX(Y77))</f>
        <v>1</v>
      </c>
      <c r="AC77" s="95" t="s">
        <v>850</v>
      </c>
      <c r="AD77" s="88" t="n">
        <f aca="false">3258/1.2*1.05</f>
        <v>2850.75</v>
      </c>
      <c r="AE77" s="88" t="n">
        <f aca="false">AD77*E77</f>
        <v>2850.75</v>
      </c>
      <c r="AF77" s="95" t="s">
        <v>851</v>
      </c>
      <c r="AG77" s="88" t="n">
        <f aca="false">3209.73/1.2*1.05</f>
        <v>2808.51</v>
      </c>
      <c r="AH77" s="89" t="n">
        <f aca="false">AG77*E77</f>
        <v>2808.51</v>
      </c>
      <c r="AI77" s="95" t="s">
        <v>852</v>
      </c>
      <c r="AJ77" s="88" t="n">
        <f aca="false">3510/1.2*1.05</f>
        <v>3071.25</v>
      </c>
      <c r="AK77" s="89" t="n">
        <f aca="false">AJ77*E77</f>
        <v>3071.25</v>
      </c>
      <c r="AL77" s="91" t="n">
        <f aca="false">AVERAGE(AD77,AG77,AJ77)</f>
        <v>2910.17</v>
      </c>
      <c r="AM77" s="91" t="n">
        <f aca="false">((F77-AL77)/AL77)*100</f>
        <v>16.03</v>
      </c>
      <c r="AN77" s="92" t="n">
        <f aca="false">AL77/1.2</f>
        <v>2425.14</v>
      </c>
      <c r="AO77" s="92" t="n">
        <f aca="false">AL77*1.2</f>
        <v>3492.2</v>
      </c>
      <c r="AP77" s="86" t="n">
        <f aca="false">AND((AD77)&gt;=MIN(AN77),(AD77)&lt;=MAX(AO77))</f>
        <v>1</v>
      </c>
      <c r="AQ77" s="86" t="n">
        <f aca="false">AND((AG77)&gt;=MIN(AN77),(AG77)&lt;=MAX(AO77))</f>
        <v>1</v>
      </c>
      <c r="AR77" s="86" t="n">
        <f aca="false">AND((AJ77)&gt;=MIN(AN77),(AJ77)&lt;=MAX(AO77))</f>
        <v>1</v>
      </c>
    </row>
    <row r="78" s="38" customFormat="true" ht="25.5" hidden="false" customHeight="true" outlineLevel="0" collapsed="false">
      <c r="A78" s="28" t="n">
        <v>68</v>
      </c>
      <c r="B78" s="99"/>
      <c r="C78" s="43" t="s">
        <v>274</v>
      </c>
      <c r="D78" s="44" t="s">
        <v>143</v>
      </c>
      <c r="E78" s="45" t="n">
        <v>1</v>
      </c>
      <c r="F78" s="32" t="n">
        <f aca="false">P78</f>
        <v>4937.34</v>
      </c>
      <c r="G78" s="42" t="s">
        <v>275</v>
      </c>
      <c r="H78" s="34" t="n">
        <f aca="false">5641/1.2*1.05</f>
        <v>4935.88</v>
      </c>
      <c r="I78" s="34" t="n">
        <f aca="false">E78*H78</f>
        <v>4935.88</v>
      </c>
      <c r="J78" s="42" t="s">
        <v>276</v>
      </c>
      <c r="K78" s="34" t="n">
        <f aca="false">5667/1.2*1.05</f>
        <v>4958.63</v>
      </c>
      <c r="L78" s="34" t="n">
        <f aca="false">E78*K78</f>
        <v>4958.63</v>
      </c>
      <c r="M78" s="42" t="s">
        <v>277</v>
      </c>
      <c r="N78" s="34" t="n">
        <f aca="false">5620/1.2*1.05</f>
        <v>4917.5</v>
      </c>
      <c r="O78" s="34" t="n">
        <f aca="false">E78*N78</f>
        <v>4917.5</v>
      </c>
      <c r="P78" s="35" t="n">
        <f aca="false">AVERAGE(H78,K78,N78)</f>
        <v>4937.34</v>
      </c>
      <c r="Q78" s="36" t="n">
        <f aca="false">F78*100/P78-100</f>
        <v>0</v>
      </c>
      <c r="R78" s="35" t="n">
        <f aca="false">P78*E78</f>
        <v>4937.34</v>
      </c>
      <c r="S78" s="37"/>
      <c r="U78" s="39" t="n">
        <f aca="false">ROUND(H78*100/P78-100,0)</f>
        <v>-0</v>
      </c>
      <c r="V78" s="39" t="n">
        <f aca="false">ROUND(K78*100/P78-100,0)</f>
        <v>0</v>
      </c>
      <c r="W78" s="39" t="n">
        <f aca="false">ROUND(N78*100/P78-100,0)</f>
        <v>-0</v>
      </c>
      <c r="X78" s="85" t="n">
        <f aca="false">P78/1.2</f>
        <v>4114.45</v>
      </c>
      <c r="Y78" s="85" t="n">
        <f aca="false">P78*1.2</f>
        <v>5924.81</v>
      </c>
      <c r="Z78" s="86" t="n">
        <f aca="false">AND((H78)&gt;=MIN(X78),(H78)&lt;=MAX(Y78))</f>
        <v>1</v>
      </c>
      <c r="AA78" s="86" t="n">
        <f aca="false">AND((K78)&gt;=MIN(X78),(K78)&lt;=MAX(Y78))</f>
        <v>1</v>
      </c>
      <c r="AB78" s="86" t="n">
        <f aca="false">AND((N78)&gt;=MIN(X78),(N78)&lt;=MAX(Y78))</f>
        <v>1</v>
      </c>
      <c r="AC78" s="95" t="s">
        <v>853</v>
      </c>
      <c r="AD78" s="88" t="n">
        <f aca="false">5800/1.2*1.05</f>
        <v>5075</v>
      </c>
      <c r="AE78" s="88" t="n">
        <f aca="false">AD78*E78</f>
        <v>5075</v>
      </c>
      <c r="AF78" s="95" t="s">
        <v>854</v>
      </c>
      <c r="AG78" s="88" t="n">
        <f aca="false">4469/1.2*1.05</f>
        <v>3910.38</v>
      </c>
      <c r="AH78" s="89" t="n">
        <f aca="false">AG78*E78</f>
        <v>3910.38</v>
      </c>
      <c r="AI78" s="95" t="s">
        <v>855</v>
      </c>
      <c r="AJ78" s="88" t="n">
        <f aca="false">4469/1.2*1.05</f>
        <v>3910.38</v>
      </c>
      <c r="AK78" s="89" t="n">
        <f aca="false">AJ78*E78</f>
        <v>3910.38</v>
      </c>
      <c r="AL78" s="91" t="n">
        <f aca="false">AVERAGE(AD78,AG78,AJ78)</f>
        <v>4298.59</v>
      </c>
      <c r="AM78" s="91" t="n">
        <f aca="false">((F78-AL78)/AL78)*100</f>
        <v>14.86</v>
      </c>
      <c r="AN78" s="92" t="n">
        <f aca="false">AL78/1.2</f>
        <v>3582.16</v>
      </c>
      <c r="AO78" s="92" t="n">
        <f aca="false">AL78*1.2</f>
        <v>5158.31</v>
      </c>
      <c r="AP78" s="86" t="n">
        <f aca="false">AND((AD78)&gt;=MIN(AN78),(AD78)&lt;=MAX(AO78))</f>
        <v>1</v>
      </c>
      <c r="AQ78" s="86" t="n">
        <f aca="false">AND((AG78)&gt;=MIN(AN78),(AG78)&lt;=MAX(AO78))</f>
        <v>1</v>
      </c>
      <c r="AR78" s="86" t="n">
        <f aca="false">AND((AJ78)&gt;=MIN(AN78),(AJ78)&lt;=MAX(AO78))</f>
        <v>1</v>
      </c>
    </row>
    <row r="79" s="38" customFormat="true" ht="38.25" hidden="false" customHeight="true" outlineLevel="0" collapsed="false">
      <c r="A79" s="28" t="n">
        <v>69</v>
      </c>
      <c r="B79" s="99"/>
      <c r="C79" s="43" t="s">
        <v>278</v>
      </c>
      <c r="D79" s="44" t="s">
        <v>143</v>
      </c>
      <c r="E79" s="45" t="n">
        <v>4</v>
      </c>
      <c r="F79" s="32" t="n">
        <f aca="false">P79</f>
        <v>1641.5</v>
      </c>
      <c r="G79" s="42" t="s">
        <v>279</v>
      </c>
      <c r="H79" s="34" t="n">
        <f aca="false">1878/1.2*1.05</f>
        <v>1643.25</v>
      </c>
      <c r="I79" s="34" t="n">
        <f aca="false">E79*H79</f>
        <v>6573</v>
      </c>
      <c r="J79" s="42" t="s">
        <v>280</v>
      </c>
      <c r="K79" s="34" t="n">
        <f aca="false">1850/1.2*1.05</f>
        <v>1618.75</v>
      </c>
      <c r="L79" s="34" t="n">
        <f aca="false">E79*K79</f>
        <v>6475</v>
      </c>
      <c r="M79" s="42" t="s">
        <v>281</v>
      </c>
      <c r="N79" s="34" t="n">
        <f aca="false">1900/1.2*1.05</f>
        <v>1662.5</v>
      </c>
      <c r="O79" s="34" t="n">
        <f aca="false">E79*N79</f>
        <v>6650</v>
      </c>
      <c r="P79" s="35" t="n">
        <f aca="false">AVERAGE(H79,K79,N79)</f>
        <v>1641.5</v>
      </c>
      <c r="Q79" s="36" t="n">
        <f aca="false">F79*100/P79-100</f>
        <v>0</v>
      </c>
      <c r="R79" s="35" t="n">
        <f aca="false">P79*E79</f>
        <v>6566</v>
      </c>
      <c r="S79" s="37"/>
      <c r="U79" s="39" t="n">
        <f aca="false">ROUND(H79*100/P79-100,0)</f>
        <v>0</v>
      </c>
      <c r="V79" s="39" t="n">
        <f aca="false">ROUND(K79*100/P79-100,0)</f>
        <v>-1</v>
      </c>
      <c r="W79" s="39" t="n">
        <f aca="false">ROUND(N79*100/P79-100,0)</f>
        <v>1</v>
      </c>
      <c r="X79" s="85" t="n">
        <f aca="false">P79/1.2</f>
        <v>1367.92</v>
      </c>
      <c r="Y79" s="85" t="n">
        <f aca="false">P79*1.2</f>
        <v>1969.8</v>
      </c>
      <c r="Z79" s="86" t="n">
        <f aca="false">AND((H79)&gt;=MIN(X79),(H79)&lt;=MAX(Y79))</f>
        <v>1</v>
      </c>
      <c r="AA79" s="86" t="n">
        <f aca="false">AND((K79)&gt;=MIN(X79),(K79)&lt;=MAX(Y79))</f>
        <v>1</v>
      </c>
      <c r="AB79" s="86" t="n">
        <f aca="false">AND((N79)&gt;=MIN(X79),(N79)&lt;=MAX(Y79))</f>
        <v>1</v>
      </c>
      <c r="AC79" s="95" t="s">
        <v>856</v>
      </c>
      <c r="AD79" s="88" t="n">
        <f aca="false">1760/1.2*1.05</f>
        <v>1540</v>
      </c>
      <c r="AE79" s="88" t="n">
        <f aca="false">AD79*E79</f>
        <v>6160</v>
      </c>
      <c r="AF79" s="95" t="s">
        <v>857</v>
      </c>
      <c r="AG79" s="88" t="n">
        <f aca="false">1700/1.2*1.05</f>
        <v>1487.5</v>
      </c>
      <c r="AH79" s="89" t="n">
        <f aca="false">AG79*E79</f>
        <v>5950</v>
      </c>
      <c r="AI79" s="95" t="s">
        <v>858</v>
      </c>
      <c r="AJ79" s="88" t="n">
        <f aca="false">1700/1.2*1.05</f>
        <v>1487.5</v>
      </c>
      <c r="AK79" s="89" t="n">
        <f aca="false">AJ79*E79</f>
        <v>5950</v>
      </c>
      <c r="AL79" s="91" t="n">
        <f aca="false">AVERAGE(AD79,AG79,AJ79)</f>
        <v>1505</v>
      </c>
      <c r="AM79" s="91" t="n">
        <f aca="false">((F79-AL79)/AL79)*100</f>
        <v>9.07</v>
      </c>
      <c r="AN79" s="92" t="n">
        <f aca="false">AL79/1.2</f>
        <v>1254.17</v>
      </c>
      <c r="AO79" s="92" t="n">
        <f aca="false">AL79*1.2</f>
        <v>1806</v>
      </c>
      <c r="AP79" s="86" t="n">
        <f aca="false">AND((AD79)&gt;=MIN(AN79),(AD79)&lt;=MAX(AO79))</f>
        <v>1</v>
      </c>
      <c r="AQ79" s="86" t="n">
        <f aca="false">AND((AG79)&gt;=MIN(AN79),(AG79)&lt;=MAX(AO79))</f>
        <v>1</v>
      </c>
      <c r="AR79" s="86" t="n">
        <f aca="false">AND((AJ79)&gt;=MIN(AN79),(AJ79)&lt;=MAX(AO79))</f>
        <v>1</v>
      </c>
    </row>
    <row r="80" s="38" customFormat="true" ht="78.75" hidden="false" customHeight="true" outlineLevel="0" collapsed="false">
      <c r="A80" s="28" t="n">
        <v>70</v>
      </c>
      <c r="B80" s="84" t="s">
        <v>859</v>
      </c>
      <c r="C80" s="43" t="s">
        <v>282</v>
      </c>
      <c r="D80" s="44" t="s">
        <v>143</v>
      </c>
      <c r="E80" s="45" t="n">
        <v>10</v>
      </c>
      <c r="F80" s="32" t="n">
        <f aca="false">P80</f>
        <v>1630.13</v>
      </c>
      <c r="G80" s="42" t="s">
        <v>283</v>
      </c>
      <c r="H80" s="34" t="n">
        <f aca="false">2120/1.2*1.05</f>
        <v>1855</v>
      </c>
      <c r="I80" s="47" t="n">
        <f aca="false">E80*H80</f>
        <v>18550</v>
      </c>
      <c r="J80" s="50" t="s">
        <v>284</v>
      </c>
      <c r="K80" s="34" t="n">
        <f aca="false">1769/1.2*1.05</f>
        <v>1547.88</v>
      </c>
      <c r="L80" s="47" t="n">
        <f aca="false">E80*K80</f>
        <v>15478.8</v>
      </c>
      <c r="M80" s="50" t="s">
        <v>285</v>
      </c>
      <c r="N80" s="47" t="n">
        <f aca="false">1700/1.2*1.05</f>
        <v>1487.5</v>
      </c>
      <c r="O80" s="47" t="n">
        <f aca="false">E80*N80</f>
        <v>14875</v>
      </c>
      <c r="P80" s="35" t="n">
        <f aca="false">AVERAGE(H80,K80,N80)</f>
        <v>1630.13</v>
      </c>
      <c r="Q80" s="36" t="n">
        <f aca="false">F80*100/P80-100</f>
        <v>0</v>
      </c>
      <c r="R80" s="35" t="n">
        <f aca="false">P80*E80</f>
        <v>16301.3</v>
      </c>
      <c r="S80" s="37"/>
      <c r="U80" s="39" t="n">
        <f aca="false">ROUND(H80*100/P80-100,0)</f>
        <v>14</v>
      </c>
      <c r="V80" s="39" t="n">
        <f aca="false">ROUND(K80*100/P80-100,0)</f>
        <v>-5</v>
      </c>
      <c r="W80" s="39" t="n">
        <f aca="false">ROUND(N80*100/P80-100,0)</f>
        <v>-9</v>
      </c>
      <c r="X80" s="85" t="n">
        <f aca="false">P80/1.2</f>
        <v>1358.44</v>
      </c>
      <c r="Y80" s="85" t="n">
        <f aca="false">P80*1.2</f>
        <v>1956.16</v>
      </c>
      <c r="Z80" s="86" t="n">
        <f aca="false">AND((H80)&gt;=MIN(X80),(H80)&lt;=MAX(Y80))</f>
        <v>1</v>
      </c>
      <c r="AA80" s="86" t="n">
        <f aca="false">AND((K80)&gt;=MIN(X80),(K80)&lt;=MAX(Y80))</f>
        <v>1</v>
      </c>
      <c r="AB80" s="86" t="n">
        <f aca="false">AND((N80)&gt;=MIN(X80),(N80)&lt;=MAX(Y80))</f>
        <v>1</v>
      </c>
      <c r="AC80" s="95" t="s">
        <v>860</v>
      </c>
      <c r="AD80" s="88" t="n">
        <f aca="false">1778/1.2*1.05</f>
        <v>1555.75</v>
      </c>
      <c r="AE80" s="88" t="n">
        <f aca="false">AD80*E80</f>
        <v>15557.5</v>
      </c>
      <c r="AF80" s="95" t="s">
        <v>861</v>
      </c>
      <c r="AG80" s="88" t="n">
        <f aca="false">1347/1.2*1.05</f>
        <v>1178.63</v>
      </c>
      <c r="AH80" s="89" t="n">
        <f aca="false">AG80*E80</f>
        <v>11786.3</v>
      </c>
      <c r="AI80" s="95" t="s">
        <v>862</v>
      </c>
      <c r="AJ80" s="88" t="n">
        <f aca="false">1458/1.2*1.05</f>
        <v>1275.75</v>
      </c>
      <c r="AK80" s="89" t="n">
        <f aca="false">AJ80*E80</f>
        <v>12757.5</v>
      </c>
      <c r="AL80" s="91" t="n">
        <f aca="false">AVERAGE(AD80,AG80,AJ80)</f>
        <v>1336.71</v>
      </c>
      <c r="AM80" s="91" t="n">
        <f aca="false">((F80-AL80)/AL80)*100</f>
        <v>21.95</v>
      </c>
      <c r="AN80" s="92" t="n">
        <f aca="false">AL80/1.2</f>
        <v>1113.93</v>
      </c>
      <c r="AO80" s="92" t="n">
        <f aca="false">AL80*1.2</f>
        <v>1604.05</v>
      </c>
      <c r="AP80" s="86" t="n">
        <f aca="false">AND((AD80)&gt;=MIN(AN80),(AD80)&lt;=MAX(AO80))</f>
        <v>1</v>
      </c>
      <c r="AQ80" s="86" t="n">
        <f aca="false">AND((AG80)&gt;=MIN(AN80),(AG80)&lt;=MAX(AO80))</f>
        <v>1</v>
      </c>
      <c r="AR80" s="86" t="n">
        <f aca="false">AND((AJ80)&gt;=MIN(AN80),(AJ80)&lt;=MAX(AO80))</f>
        <v>1</v>
      </c>
    </row>
    <row r="81" s="38" customFormat="true" ht="34.5" hidden="false" customHeight="true" outlineLevel="0" collapsed="false">
      <c r="A81" s="28" t="n">
        <v>71</v>
      </c>
      <c r="B81" s="84" t="s">
        <v>863</v>
      </c>
      <c r="C81" s="51" t="s">
        <v>286</v>
      </c>
      <c r="D81" s="52" t="s">
        <v>287</v>
      </c>
      <c r="E81" s="53" t="n">
        <v>2.69</v>
      </c>
      <c r="F81" s="32" t="n">
        <f aca="false">P81</f>
        <v>4642.65</v>
      </c>
      <c r="G81" s="33" t="s">
        <v>288</v>
      </c>
      <c r="H81" s="34" t="n">
        <f aca="false">(423/85)*1000/1.2*1.05</f>
        <v>4354.41</v>
      </c>
      <c r="I81" s="34" t="n">
        <f aca="false">E81*H81</f>
        <v>11713.36</v>
      </c>
      <c r="J81" s="33" t="s">
        <v>289</v>
      </c>
      <c r="K81" s="34" t="n">
        <f aca="false">(480/85)*1000/1.2*1.05</f>
        <v>4941.18</v>
      </c>
      <c r="L81" s="34" t="n">
        <f aca="false">E81*K81</f>
        <v>13291.77</v>
      </c>
      <c r="M81" s="33" t="s">
        <v>290</v>
      </c>
      <c r="N81" s="34" t="n">
        <f aca="false">(450/85)*1000*1.05/1.2</f>
        <v>4632.35</v>
      </c>
      <c r="O81" s="34" t="n">
        <f aca="false">E81*N81</f>
        <v>12461.02</v>
      </c>
      <c r="P81" s="35" t="n">
        <f aca="false">AVERAGE(H81,K81,N81)</f>
        <v>4642.65</v>
      </c>
      <c r="Q81" s="36" t="n">
        <f aca="false">F81*100/P81-100</f>
        <v>0</v>
      </c>
      <c r="R81" s="35" t="n">
        <f aca="false">P81*E81</f>
        <v>12488.73</v>
      </c>
      <c r="S81" s="37"/>
      <c r="U81" s="39" t="n">
        <f aca="false">ROUND(H81*100/P81-100,0)</f>
        <v>-6</v>
      </c>
      <c r="V81" s="39" t="n">
        <f aca="false">ROUND(K81*100/P81-100,0)</f>
        <v>6</v>
      </c>
      <c r="W81" s="39" t="n">
        <f aca="false">ROUND(N81*100/P81-100,0)</f>
        <v>-0</v>
      </c>
      <c r="X81" s="85" t="n">
        <f aca="false">P81/1.2</f>
        <v>3868.88</v>
      </c>
      <c r="Y81" s="85" t="n">
        <f aca="false">P81*1.2</f>
        <v>5571.18</v>
      </c>
      <c r="Z81" s="86" t="n">
        <f aca="false">AND((H81)&gt;=MIN(X81),(H81)&lt;=MAX(Y81))</f>
        <v>1</v>
      </c>
      <c r="AA81" s="86" t="n">
        <f aca="false">AND((K81)&gt;=MIN(X81),(K81)&lt;=MAX(Y81))</f>
        <v>1</v>
      </c>
      <c r="AB81" s="86" t="n">
        <f aca="false">AND((N81)&gt;=MIN(X81),(N81)&lt;=MAX(Y81))</f>
        <v>1</v>
      </c>
      <c r="AC81" s="95"/>
      <c r="AD81" s="88"/>
      <c r="AE81" s="88" t="n">
        <f aca="false">AD81*E81</f>
        <v>0</v>
      </c>
      <c r="AF81" s="95"/>
      <c r="AG81" s="88"/>
      <c r="AH81" s="89" t="n">
        <f aca="false">AG81*E81</f>
        <v>0</v>
      </c>
      <c r="AI81" s="95"/>
      <c r="AJ81" s="88"/>
      <c r="AK81" s="89" t="n">
        <f aca="false">AJ81*E81</f>
        <v>0</v>
      </c>
      <c r="AL81" s="91" t="e">
        <f aca="false">AVERAGE(AD81,AG81,AJ81)</f>
        <v>#DIV/0!</v>
      </c>
      <c r="AM81" s="91" t="e">
        <f aca="false">((F81-AL81)/AL81)*100</f>
        <v>#DIV/0!</v>
      </c>
      <c r="AN81" s="92" t="e">
        <f aca="false">AL81/1.2</f>
        <v>#DIV/0!</v>
      </c>
      <c r="AO81" s="92" t="e">
        <f aca="false">AL81*1.2</f>
        <v>#DIV/0!</v>
      </c>
      <c r="AP81" s="86" t="e">
        <f aca="false">AND((AD81)&gt;=MIN(AN81),(AD81)&lt;=MAX(AO81))</f>
        <v>#DIV/0!</v>
      </c>
      <c r="AQ81" s="86" t="e">
        <f aca="false">AND((AG81)&gt;=MIN(AN81),(AG81)&lt;=MAX(AO81))</f>
        <v>#DIV/0!</v>
      </c>
      <c r="AR81" s="86" t="e">
        <f aca="false">AND((AJ81)&gt;=MIN(AN81),(AJ81)&lt;=MAX(AO81))</f>
        <v>#DIV/0!</v>
      </c>
    </row>
    <row r="82" s="38" customFormat="true" ht="40.5" hidden="false" customHeight="true" outlineLevel="0" collapsed="false">
      <c r="A82" s="28" t="n">
        <v>72</v>
      </c>
      <c r="B82" s="99" t="s">
        <v>864</v>
      </c>
      <c r="C82" s="54" t="s">
        <v>291</v>
      </c>
      <c r="D82" s="55" t="s">
        <v>64</v>
      </c>
      <c r="E82" s="56" t="n">
        <v>120</v>
      </c>
      <c r="F82" s="32" t="n">
        <f aca="false">P82</f>
        <v>1554.59</v>
      </c>
      <c r="G82" s="33" t="s">
        <v>292</v>
      </c>
      <c r="H82" s="34" t="n">
        <f aca="false">1723/1.2*1.05</f>
        <v>1507.63</v>
      </c>
      <c r="I82" s="34" t="n">
        <f aca="false">E82*H82</f>
        <v>180915.6</v>
      </c>
      <c r="J82" s="33" t="s">
        <v>293</v>
      </c>
      <c r="K82" s="34" t="n">
        <f aca="false">1792/1.2*1.05</f>
        <v>1568</v>
      </c>
      <c r="L82" s="34" t="n">
        <f aca="false">E82*K82</f>
        <v>188160</v>
      </c>
      <c r="M82" s="33" t="s">
        <v>294</v>
      </c>
      <c r="N82" s="34" t="n">
        <f aca="false">1815/1.2*1.05</f>
        <v>1588.13</v>
      </c>
      <c r="O82" s="34" t="n">
        <f aca="false">E82*N82</f>
        <v>190575.6</v>
      </c>
      <c r="P82" s="35" t="n">
        <f aca="false">AVERAGE(H82,K82,N82)</f>
        <v>1554.59</v>
      </c>
      <c r="Q82" s="36" t="n">
        <f aca="false">F82*100/P82-100</f>
        <v>0</v>
      </c>
      <c r="R82" s="35" t="n">
        <f aca="false">P82*E82</f>
        <v>186550.8</v>
      </c>
      <c r="S82" s="37"/>
      <c r="U82" s="39" t="n">
        <f aca="false">ROUND(H82*100/P82-100,0)</f>
        <v>-3</v>
      </c>
      <c r="V82" s="39" t="n">
        <f aca="false">ROUND(K82*100/P82-100,0)</f>
        <v>1</v>
      </c>
      <c r="W82" s="39" t="n">
        <f aca="false">ROUND(N82*100/P82-100,0)</f>
        <v>2</v>
      </c>
      <c r="X82" s="85" t="n">
        <f aca="false">P82/1.2</f>
        <v>1295.49</v>
      </c>
      <c r="Y82" s="85" t="n">
        <f aca="false">P82*1.2</f>
        <v>1865.51</v>
      </c>
      <c r="Z82" s="86" t="n">
        <f aca="false">AND((H82)&gt;=MIN(X82),(H82)&lt;=MAX(Y82))</f>
        <v>1</v>
      </c>
      <c r="AA82" s="86" t="n">
        <f aca="false">AND((K82)&gt;=MIN(X82),(K82)&lt;=MAX(Y82))</f>
        <v>1</v>
      </c>
      <c r="AB82" s="86" t="n">
        <f aca="false">AND((N82)&gt;=MIN(X82),(N82)&lt;=MAX(Y82))</f>
        <v>1</v>
      </c>
      <c r="AC82" s="95" t="s">
        <v>865</v>
      </c>
      <c r="AD82" s="88" t="n">
        <f aca="false">5327/1.2/20*1.05</f>
        <v>233.06</v>
      </c>
      <c r="AE82" s="88" t="n">
        <f aca="false">AD82*E82</f>
        <v>27967.2</v>
      </c>
      <c r="AF82" s="95" t="s">
        <v>866</v>
      </c>
      <c r="AG82" s="88" t="n">
        <f aca="false">5039.2/20/1.2*1.05</f>
        <v>220.47</v>
      </c>
      <c r="AH82" s="89" t="n">
        <f aca="false">AG82*E82</f>
        <v>26456.4</v>
      </c>
      <c r="AI82" s="95" t="s">
        <v>867</v>
      </c>
      <c r="AJ82" s="88" t="n">
        <f aca="false">5848/20/1.2*1.05</f>
        <v>255.85</v>
      </c>
      <c r="AK82" s="89" t="n">
        <f aca="false">AJ82*E82</f>
        <v>30702</v>
      </c>
      <c r="AL82" s="91" t="n">
        <f aca="false">AVERAGE(AD82,AG82,AJ82)</f>
        <v>236.46</v>
      </c>
      <c r="AM82" s="91" t="n">
        <f aca="false">((F82-AL82)/AL82)*100</f>
        <v>557.44</v>
      </c>
      <c r="AN82" s="92" t="n">
        <f aca="false">AL82/1.2</f>
        <v>197.05</v>
      </c>
      <c r="AO82" s="92" t="n">
        <f aca="false">AL82*1.2</f>
        <v>283.75</v>
      </c>
      <c r="AP82" s="86" t="n">
        <f aca="false">AND((AD82)&gt;=MIN(AN82),(AD82)&lt;=MAX(AO82))</f>
        <v>1</v>
      </c>
      <c r="AQ82" s="86" t="n">
        <f aca="false">AND((AG82)&gt;=MIN(AN82),(AG82)&lt;=MAX(AO82))</f>
        <v>1</v>
      </c>
      <c r="AR82" s="86" t="n">
        <f aca="false">AND((AJ82)&gt;=MIN(AN82),(AJ82)&lt;=MAX(AO82))</f>
        <v>1</v>
      </c>
    </row>
    <row r="83" s="38" customFormat="true" ht="63.75" hidden="false" customHeight="true" outlineLevel="0" collapsed="false">
      <c r="A83" s="28" t="n">
        <v>73</v>
      </c>
      <c r="B83" s="99"/>
      <c r="C83" s="60" t="s">
        <v>335</v>
      </c>
      <c r="D83" s="58" t="s">
        <v>27</v>
      </c>
      <c r="E83" s="59" t="n">
        <v>2.2</v>
      </c>
      <c r="F83" s="32" t="n">
        <f aca="false">P83</f>
        <v>451.81</v>
      </c>
      <c r="G83" s="42" t="s">
        <v>336</v>
      </c>
      <c r="H83" s="34" t="n">
        <f aca="false">489.05/1.2*1.05</f>
        <v>427.92</v>
      </c>
      <c r="I83" s="34" t="n">
        <f aca="false">E83*H83</f>
        <v>941.42</v>
      </c>
      <c r="J83" s="49" t="s">
        <v>337</v>
      </c>
      <c r="K83" s="34" t="n">
        <f aca="false">540/1.2*1.05</f>
        <v>472.5</v>
      </c>
      <c r="L83" s="34" t="n">
        <f aca="false">E83*K83</f>
        <v>1039.5</v>
      </c>
      <c r="M83" s="42" t="s">
        <v>338</v>
      </c>
      <c r="N83" s="34" t="n">
        <f aca="false">520/1.2*1.05</f>
        <v>455</v>
      </c>
      <c r="O83" s="34" t="n">
        <f aca="false">E83*N83</f>
        <v>1001</v>
      </c>
      <c r="P83" s="35" t="n">
        <f aca="false">AVERAGE(H83,K83,N83)</f>
        <v>451.81</v>
      </c>
      <c r="Q83" s="36" t="n">
        <f aca="false">F83*100/P83-100</f>
        <v>0</v>
      </c>
      <c r="R83" s="35" t="n">
        <f aca="false">P83*E83</f>
        <v>993.98</v>
      </c>
      <c r="S83" s="37"/>
      <c r="U83" s="39" t="n">
        <f aca="false">ROUND(H83*100/P83-100,0)</f>
        <v>-5</v>
      </c>
      <c r="V83" s="39" t="n">
        <f aca="false">ROUND(K83*100/P83-100,0)</f>
        <v>5</v>
      </c>
      <c r="W83" s="39" t="n">
        <f aca="false">ROUND(N83*100/P83-100,0)</f>
        <v>1</v>
      </c>
      <c r="X83" s="85" t="n">
        <f aca="false">P83/1.2</f>
        <v>376.51</v>
      </c>
      <c r="Y83" s="85" t="n">
        <f aca="false">P83*1.2</f>
        <v>542.17</v>
      </c>
      <c r="Z83" s="86" t="n">
        <f aca="false">AND((H83)&gt;=MIN(X83),(H83)&lt;=MAX(Y83))</f>
        <v>1</v>
      </c>
      <c r="AA83" s="86" t="n">
        <f aca="false">AND((K83)&gt;=MIN(X83),(K83)&lt;=MAX(Y83))</f>
        <v>1</v>
      </c>
      <c r="AB83" s="86" t="n">
        <f aca="false">AND((N83)&gt;=MIN(X83),(N83)&lt;=MAX(Y83))</f>
        <v>1</v>
      </c>
      <c r="AC83" s="95" t="s">
        <v>868</v>
      </c>
      <c r="AD83" s="88" t="n">
        <f aca="false">241.32/1.2*1.05</f>
        <v>211.16</v>
      </c>
      <c r="AE83" s="88" t="n">
        <f aca="false">AD83*E83</f>
        <v>464.55</v>
      </c>
      <c r="AF83" s="95" t="s">
        <v>869</v>
      </c>
      <c r="AG83" s="88" t="n">
        <f aca="false">272.3/1.2*1.05</f>
        <v>238.26</v>
      </c>
      <c r="AH83" s="89" t="n">
        <f aca="false">AG83*E83</f>
        <v>524.17</v>
      </c>
      <c r="AI83" s="95" t="s">
        <v>870</v>
      </c>
      <c r="AJ83" s="88" t="n">
        <f aca="false">287/1.2*1.05</f>
        <v>251.13</v>
      </c>
      <c r="AK83" s="89" t="n">
        <f aca="false">AJ83*E83</f>
        <v>552.49</v>
      </c>
      <c r="AL83" s="91" t="n">
        <f aca="false">AVERAGE(AD83,AG83,AJ83)</f>
        <v>233.52</v>
      </c>
      <c r="AM83" s="91" t="n">
        <f aca="false">((F83-AL83)/AL83)*100</f>
        <v>93.48</v>
      </c>
      <c r="AN83" s="92" t="n">
        <f aca="false">AL83/1.2</f>
        <v>194.6</v>
      </c>
      <c r="AO83" s="92" t="n">
        <f aca="false">AL83*1.2</f>
        <v>280.22</v>
      </c>
      <c r="AP83" s="86" t="n">
        <f aca="false">AND((AD83)&gt;=MIN(AN83),(AD83)&lt;=MAX(AO83))</f>
        <v>1</v>
      </c>
      <c r="AQ83" s="86" t="n">
        <f aca="false">AND((AG83)&gt;=MIN(AN83),(AG83)&lt;=MAX(AO83))</f>
        <v>1</v>
      </c>
      <c r="AR83" s="86" t="n">
        <f aca="false">AND((AJ83)&gt;=MIN(AN83),(AJ83)&lt;=MAX(AO83))</f>
        <v>1</v>
      </c>
    </row>
    <row r="84" s="38" customFormat="true" ht="51" hidden="false" customHeight="true" outlineLevel="0" collapsed="false">
      <c r="A84" s="28" t="n">
        <v>74</v>
      </c>
      <c r="B84" s="99"/>
      <c r="C84" s="60" t="s">
        <v>339</v>
      </c>
      <c r="D84" s="58" t="s">
        <v>27</v>
      </c>
      <c r="E84" s="59" t="n">
        <v>1.8</v>
      </c>
      <c r="F84" s="32" t="n">
        <f aca="false">P84</f>
        <v>300.9</v>
      </c>
      <c r="G84" s="40" t="s">
        <v>340</v>
      </c>
      <c r="H84" s="34" t="n">
        <f aca="false">332/1.2*1.05</f>
        <v>290.5</v>
      </c>
      <c r="I84" s="34" t="n">
        <f aca="false">E84*H84</f>
        <v>522.9</v>
      </c>
      <c r="J84" s="42" t="s">
        <v>341</v>
      </c>
      <c r="K84" s="34" t="n">
        <f aca="false">368.88/1.2*1.05</f>
        <v>322.77</v>
      </c>
      <c r="L84" s="34" t="n">
        <f aca="false">E84*K84</f>
        <v>580.99</v>
      </c>
      <c r="M84" s="42" t="s">
        <v>342</v>
      </c>
      <c r="N84" s="34" t="n">
        <f aca="false">330.77/1.2*1.05</f>
        <v>289.42</v>
      </c>
      <c r="O84" s="34" t="n">
        <f aca="false">E84*N84</f>
        <v>520.96</v>
      </c>
      <c r="P84" s="35" t="n">
        <f aca="false">AVERAGE(H84,K84,N84)</f>
        <v>300.9</v>
      </c>
      <c r="Q84" s="36" t="n">
        <f aca="false">F84*100/P84-100</f>
        <v>0</v>
      </c>
      <c r="R84" s="35" t="n">
        <f aca="false">P84*E84</f>
        <v>541.62</v>
      </c>
      <c r="S84" s="37"/>
      <c r="U84" s="39" t="n">
        <f aca="false">ROUND(H84*100/P84-100,0)</f>
        <v>-3</v>
      </c>
      <c r="V84" s="39" t="n">
        <f aca="false">ROUND(K84*100/P84-100,0)</f>
        <v>7</v>
      </c>
      <c r="W84" s="39" t="n">
        <f aca="false">ROUND(N84*100/P84-100,0)</f>
        <v>-4</v>
      </c>
      <c r="X84" s="85" t="n">
        <f aca="false">P84/1.2</f>
        <v>250.75</v>
      </c>
      <c r="Y84" s="85" t="n">
        <f aca="false">P84*1.2</f>
        <v>361.08</v>
      </c>
      <c r="Z84" s="86" t="n">
        <f aca="false">AND((H84)&gt;=MIN(X84),(H84)&lt;=MAX(Y84))</f>
        <v>1</v>
      </c>
      <c r="AA84" s="86" t="n">
        <f aca="false">AND((K84)&gt;=MIN(X84),(K84)&lt;=MAX(Y84))</f>
        <v>1</v>
      </c>
      <c r="AB84" s="86" t="n">
        <f aca="false">AND((N84)&gt;=MIN(X84),(N84)&lt;=MAX(Y84))</f>
        <v>1</v>
      </c>
      <c r="AC84" s="95" t="s">
        <v>871</v>
      </c>
      <c r="AD84" s="88" t="n">
        <f aca="false">287/1.2*1.05</f>
        <v>251.13</v>
      </c>
      <c r="AE84" s="88" t="n">
        <f aca="false">AD84*E84</f>
        <v>452.03</v>
      </c>
      <c r="AF84" s="95" t="s">
        <v>872</v>
      </c>
      <c r="AG84" s="88" t="n">
        <f aca="false">302.5/1.2*1.05</f>
        <v>264.69</v>
      </c>
      <c r="AH84" s="89" t="n">
        <f aca="false">AG84*E84</f>
        <v>476.44</v>
      </c>
      <c r="AI84" s="95" t="s">
        <v>873</v>
      </c>
      <c r="AJ84" s="88" t="n">
        <f aca="false">307/1.2*1.05</f>
        <v>268.63</v>
      </c>
      <c r="AK84" s="89" t="n">
        <f aca="false">AJ84*E84</f>
        <v>483.53</v>
      </c>
      <c r="AL84" s="91" t="n">
        <f aca="false">AVERAGE(AD84,AG84,AJ84)</f>
        <v>261.48</v>
      </c>
      <c r="AM84" s="91" t="n">
        <f aca="false">((F84-AL84)/AL84)*100</f>
        <v>15.08</v>
      </c>
      <c r="AN84" s="92" t="n">
        <f aca="false">AL84/1.2</f>
        <v>217.9</v>
      </c>
      <c r="AO84" s="92" t="n">
        <f aca="false">AL84*1.2</f>
        <v>313.78</v>
      </c>
      <c r="AP84" s="86" t="n">
        <f aca="false">AND((AD84)&gt;=MIN(AN84),(AD84)&lt;=MAX(AO84))</f>
        <v>1</v>
      </c>
      <c r="AQ84" s="86" t="n">
        <f aca="false">AND((AG84)&gt;=MIN(AN84),(AG84)&lt;=MAX(AO84))</f>
        <v>1</v>
      </c>
      <c r="AR84" s="86" t="n">
        <f aca="false">AND((AJ84)&gt;=MIN(AN84),(AJ84)&lt;=MAX(AO84))</f>
        <v>1</v>
      </c>
    </row>
    <row r="85" s="38" customFormat="true" ht="48" hidden="false" customHeight="true" outlineLevel="0" collapsed="false">
      <c r="A85" s="28" t="n">
        <v>75</v>
      </c>
      <c r="B85" s="84" t="s">
        <v>874</v>
      </c>
      <c r="C85" s="60" t="s">
        <v>343</v>
      </c>
      <c r="D85" s="58" t="s">
        <v>344</v>
      </c>
      <c r="E85" s="59" t="n">
        <v>190</v>
      </c>
      <c r="F85" s="32" t="n">
        <f aca="false">P85</f>
        <v>795.5</v>
      </c>
      <c r="G85" s="42" t="s">
        <v>345</v>
      </c>
      <c r="H85" s="34" t="n">
        <f aca="false">1335/310*250/1.2*1.05</f>
        <v>942.04</v>
      </c>
      <c r="I85" s="34" t="n">
        <f aca="false">E85*H85</f>
        <v>178987.6</v>
      </c>
      <c r="J85" s="42" t="s">
        <v>346</v>
      </c>
      <c r="K85" s="34" t="n">
        <f aca="false">920/310*250/1.2*1.05</f>
        <v>649.19</v>
      </c>
      <c r="L85" s="34" t="n">
        <f aca="false">E85*K85</f>
        <v>123346.1</v>
      </c>
      <c r="M85" s="42" t="s">
        <v>347</v>
      </c>
      <c r="N85" s="34" t="n">
        <f aca="false">1127/310*250/1.2*1.05</f>
        <v>795.26</v>
      </c>
      <c r="O85" s="34" t="n">
        <f aca="false">E85*N85</f>
        <v>151099.4</v>
      </c>
      <c r="P85" s="35" t="n">
        <f aca="false">AVERAGE(H85,K85,N85)</f>
        <v>795.5</v>
      </c>
      <c r="Q85" s="36" t="n">
        <f aca="false">F85*100/P85-100</f>
        <v>0</v>
      </c>
      <c r="R85" s="35" t="n">
        <f aca="false">P85*E85</f>
        <v>151145</v>
      </c>
      <c r="S85" s="37"/>
      <c r="U85" s="39" t="n">
        <f aca="false">ROUND(H85*100/P85-100,0)</f>
        <v>18</v>
      </c>
      <c r="V85" s="39" t="n">
        <f aca="false">ROUND(K85*100/P85-100,0)</f>
        <v>-18</v>
      </c>
      <c r="W85" s="39" t="n">
        <f aca="false">ROUND(N85*100/P85-100,0)</f>
        <v>-0</v>
      </c>
      <c r="X85" s="85" t="n">
        <f aca="false">P85/1.2</f>
        <v>662.92</v>
      </c>
      <c r="Y85" s="85" t="n">
        <f aca="false">P85*1.2</f>
        <v>954.6</v>
      </c>
      <c r="Z85" s="86" t="n">
        <f aca="false">AND((H85)&gt;=MIN(X85),(H85)&lt;=MAX(Y85))</f>
        <v>1</v>
      </c>
      <c r="AA85" s="101" t="n">
        <f aca="false">AND((K85)&gt;=MIN(X85),(K85)&lt;=MAX(Y85))</f>
        <v>0</v>
      </c>
      <c r="AB85" s="86" t="n">
        <f aca="false">AND((N85)&gt;=MIN(X85),(N85)&lt;=MAX(Y85))</f>
        <v>1</v>
      </c>
      <c r="AC85" s="95"/>
      <c r="AD85" s="88"/>
      <c r="AE85" s="88" t="n">
        <f aca="false">AD85*E85</f>
        <v>0</v>
      </c>
      <c r="AF85" s="95"/>
      <c r="AG85" s="88"/>
      <c r="AH85" s="89" t="n">
        <f aca="false">AG85*E85</f>
        <v>0</v>
      </c>
      <c r="AI85" s="95"/>
      <c r="AJ85" s="88"/>
      <c r="AK85" s="89" t="n">
        <f aca="false">AJ85*E85</f>
        <v>0</v>
      </c>
      <c r="AL85" s="91" t="e">
        <f aca="false">AVERAGE(AD85,AG85,AJ85)</f>
        <v>#DIV/0!</v>
      </c>
      <c r="AM85" s="91" t="e">
        <f aca="false">((F85-AL85)/AL85)*100</f>
        <v>#DIV/0!</v>
      </c>
      <c r="AN85" s="92" t="e">
        <f aca="false">AL85/1.2</f>
        <v>#DIV/0!</v>
      </c>
      <c r="AO85" s="92" t="e">
        <f aca="false">AL85*1.2</f>
        <v>#DIV/0!</v>
      </c>
      <c r="AP85" s="86" t="e">
        <f aca="false">AND((AD85)&gt;=MIN(AN85),(AD85)&lt;=MAX(AO85))</f>
        <v>#DIV/0!</v>
      </c>
      <c r="AQ85" s="86" t="e">
        <f aca="false">AND((AG85)&gt;=MIN(AN85),(AG85)&lt;=MAX(AO85))</f>
        <v>#DIV/0!</v>
      </c>
      <c r="AR85" s="86" t="e">
        <f aca="false">AND((AJ85)&gt;=MIN(AN85),(AJ85)&lt;=MAX(AO85))</f>
        <v>#DIV/0!</v>
      </c>
    </row>
    <row r="86" s="38" customFormat="true" ht="63.75" hidden="false" customHeight="true" outlineLevel="0" collapsed="false">
      <c r="A86" s="28" t="n">
        <v>76</v>
      </c>
      <c r="B86" s="84" t="s">
        <v>875</v>
      </c>
      <c r="C86" s="60" t="s">
        <v>382</v>
      </c>
      <c r="D86" s="58" t="s">
        <v>344</v>
      </c>
      <c r="E86" s="59" t="n">
        <v>159</v>
      </c>
      <c r="F86" s="32" t="n">
        <f aca="false">P86</f>
        <v>285.54</v>
      </c>
      <c r="G86" s="42" t="s">
        <v>383</v>
      </c>
      <c r="H86" s="34" t="n">
        <f aca="false">360/1.2*1.05</f>
        <v>315</v>
      </c>
      <c r="I86" s="34" t="n">
        <f aca="false">E86*H86</f>
        <v>50085</v>
      </c>
      <c r="J86" s="42" t="s">
        <v>384</v>
      </c>
      <c r="K86" s="34" t="n">
        <f aca="false">290/1.2*1.05</f>
        <v>253.75</v>
      </c>
      <c r="L86" s="34" t="n">
        <f aca="false">E86*K86</f>
        <v>40346.25</v>
      </c>
      <c r="M86" s="42" t="s">
        <v>381</v>
      </c>
      <c r="N86" s="34" t="n">
        <f aca="false">329/1.2*1.05</f>
        <v>287.88</v>
      </c>
      <c r="O86" s="34" t="n">
        <f aca="false">E86*N86</f>
        <v>45772.92</v>
      </c>
      <c r="P86" s="35" t="n">
        <f aca="false">AVERAGE(H86,K86,N86)</f>
        <v>285.54</v>
      </c>
      <c r="Q86" s="36" t="n">
        <f aca="false">F86*100/P86-100</f>
        <v>0</v>
      </c>
      <c r="R86" s="35" t="n">
        <f aca="false">P86*E86</f>
        <v>45400.86</v>
      </c>
      <c r="S86" s="37"/>
      <c r="U86" s="39" t="n">
        <f aca="false">ROUND(H86*100/P86-100,0)</f>
        <v>10</v>
      </c>
      <c r="V86" s="39" t="n">
        <f aca="false">ROUND(K86*100/P86-100,0)</f>
        <v>-11</v>
      </c>
      <c r="W86" s="39" t="n">
        <f aca="false">ROUND(N86*100/P86-100,0)</f>
        <v>1</v>
      </c>
      <c r="X86" s="85" t="n">
        <f aca="false">P86/1.2</f>
        <v>237.95</v>
      </c>
      <c r="Y86" s="85" t="n">
        <f aca="false">P86*1.2</f>
        <v>342.65</v>
      </c>
      <c r="Z86" s="86" t="n">
        <f aca="false">AND((H86)&gt;=MIN(X86),(H86)&lt;=MAX(Y86))</f>
        <v>1</v>
      </c>
      <c r="AA86" s="86" t="n">
        <f aca="false">AND((K86)&gt;=MIN(X86),(K86)&lt;=MAX(Y86))</f>
        <v>1</v>
      </c>
      <c r="AB86" s="86" t="n">
        <f aca="false">AND((N86)&gt;=MIN(X86),(N86)&lt;=MAX(Y86))</f>
        <v>1</v>
      </c>
      <c r="AC86" s="95"/>
      <c r="AD86" s="88"/>
      <c r="AE86" s="88" t="n">
        <f aca="false">AD86*E86</f>
        <v>0</v>
      </c>
      <c r="AF86" s="95"/>
      <c r="AG86" s="88"/>
      <c r="AH86" s="89" t="n">
        <f aca="false">AG86*E86</f>
        <v>0</v>
      </c>
      <c r="AI86" s="95"/>
      <c r="AJ86" s="88"/>
      <c r="AK86" s="89" t="n">
        <f aca="false">AJ86*E86</f>
        <v>0</v>
      </c>
      <c r="AL86" s="91" t="e">
        <f aca="false">AVERAGE(AD86,AG86,AJ86)</f>
        <v>#DIV/0!</v>
      </c>
      <c r="AM86" s="91" t="e">
        <f aca="false">((F86-AL86)/AL86)*100</f>
        <v>#DIV/0!</v>
      </c>
      <c r="AN86" s="92" t="e">
        <f aca="false">AL86/1.2</f>
        <v>#DIV/0!</v>
      </c>
      <c r="AO86" s="92" t="e">
        <f aca="false">AL86*1.2</f>
        <v>#DIV/0!</v>
      </c>
      <c r="AP86" s="86" t="e">
        <f aca="false">AND((AD86)&gt;=MIN(AN86),(AD86)&lt;=MAX(AO86))</f>
        <v>#DIV/0!</v>
      </c>
      <c r="AQ86" s="86" t="e">
        <f aca="false">AND((AG86)&gt;=MIN(AN86),(AG86)&lt;=MAX(AO86))</f>
        <v>#DIV/0!</v>
      </c>
      <c r="AR86" s="86" t="e">
        <f aca="false">AND((AJ86)&gt;=MIN(AN86),(AJ86)&lt;=MAX(AO86))</f>
        <v>#DIV/0!</v>
      </c>
    </row>
    <row r="87" s="38" customFormat="true" ht="63.75" hidden="false" customHeight="true" outlineLevel="0" collapsed="false">
      <c r="A87" s="28" t="n">
        <v>77</v>
      </c>
      <c r="B87" s="97" t="s">
        <v>876</v>
      </c>
      <c r="C87" s="60" t="s">
        <v>385</v>
      </c>
      <c r="D87" s="58" t="s">
        <v>27</v>
      </c>
      <c r="E87" s="59" t="n">
        <v>510</v>
      </c>
      <c r="F87" s="32" t="n">
        <f aca="false">P87</f>
        <v>582.17</v>
      </c>
      <c r="G87" s="42" t="s">
        <v>386</v>
      </c>
      <c r="H87" s="34" t="n">
        <f aca="false">12980/20/1.2*1.05</f>
        <v>567.88</v>
      </c>
      <c r="I87" s="34" t="n">
        <f aca="false">E87*H87</f>
        <v>289618.8</v>
      </c>
      <c r="J87" s="42" t="s">
        <v>387</v>
      </c>
      <c r="K87" s="34" t="n">
        <f aca="false">6300/10/1.2*1.05</f>
        <v>551.25</v>
      </c>
      <c r="L87" s="34" t="n">
        <f aca="false">E87*K87</f>
        <v>281137.5</v>
      </c>
      <c r="M87" s="95" t="s">
        <v>388</v>
      </c>
      <c r="N87" s="34" t="n">
        <f aca="false">7170/10/1.2*1.05</f>
        <v>627.38</v>
      </c>
      <c r="O87" s="34" t="n">
        <f aca="false">E87*N87</f>
        <v>319963.8</v>
      </c>
      <c r="P87" s="35" t="n">
        <f aca="false">AVERAGE(H87,K87,N87)</f>
        <v>582.17</v>
      </c>
      <c r="Q87" s="36" t="n">
        <f aca="false">F87*100/P87-100</f>
        <v>0</v>
      </c>
      <c r="R87" s="35" t="n">
        <f aca="false">P87*E87</f>
        <v>296906.7</v>
      </c>
      <c r="S87" s="37"/>
      <c r="U87" s="39" t="n">
        <f aca="false">ROUND(H87*100/P87-100,0)</f>
        <v>-2</v>
      </c>
      <c r="V87" s="39" t="n">
        <f aca="false">ROUND(K87*100/P87-100,0)</f>
        <v>-5</v>
      </c>
      <c r="W87" s="39" t="n">
        <f aca="false">ROUND(N87*100/P87-100,0)</f>
        <v>8</v>
      </c>
      <c r="X87" s="85" t="n">
        <f aca="false">P87/1.2</f>
        <v>485.14</v>
      </c>
      <c r="Y87" s="85" t="n">
        <f aca="false">P87*1.2</f>
        <v>698.6</v>
      </c>
      <c r="Z87" s="86" t="n">
        <f aca="false">AND((H87)&gt;=MIN(X87),(H87)&lt;=MAX(Y87))</f>
        <v>1</v>
      </c>
      <c r="AA87" s="86" t="n">
        <f aca="false">AND((K87)&gt;=MIN(X87),(K87)&lt;=MAX(Y87))</f>
        <v>1</v>
      </c>
      <c r="AB87" s="86" t="n">
        <f aca="false">AND((N87)&gt;=MIN(X87),(N87)&lt;=MAX(Y87))</f>
        <v>1</v>
      </c>
      <c r="AC87" s="95" t="s">
        <v>877</v>
      </c>
      <c r="AD87" s="88" t="n">
        <f aca="false">649/1.2*1.05</f>
        <v>567.88</v>
      </c>
      <c r="AE87" s="88" t="n">
        <f aca="false">AD87*E87</f>
        <v>289618.8</v>
      </c>
      <c r="AF87" s="95" t="s">
        <v>878</v>
      </c>
      <c r="AG87" s="88" t="n">
        <f aca="false">14927/20/1.2*1.05</f>
        <v>653.06</v>
      </c>
      <c r="AH87" s="89" t="n">
        <f aca="false">AG87*E87</f>
        <v>333060.6</v>
      </c>
      <c r="AI87" s="95" t="s">
        <v>386</v>
      </c>
      <c r="AJ87" s="88" t="n">
        <f aca="false">12980/20/1.2*1.05</f>
        <v>567.88</v>
      </c>
      <c r="AK87" s="89" t="n">
        <f aca="false">AJ87*E87</f>
        <v>289618.8</v>
      </c>
      <c r="AL87" s="91" t="n">
        <f aca="false">AVERAGE(AD87,AG87,AJ87)</f>
        <v>596.27</v>
      </c>
      <c r="AM87" s="91" t="n">
        <f aca="false">((F87-AL87)/AL87)*100</f>
        <v>-2.36</v>
      </c>
      <c r="AN87" s="92" t="n">
        <f aca="false">AL87/1.2</f>
        <v>496.89</v>
      </c>
      <c r="AO87" s="92" t="n">
        <f aca="false">AL87*1.2</f>
        <v>715.52</v>
      </c>
      <c r="AP87" s="86" t="n">
        <f aca="false">AND((AD87)&gt;=MIN(AN87),(AD87)&lt;=MAX(AO87))</f>
        <v>1</v>
      </c>
      <c r="AQ87" s="86" t="n">
        <f aca="false">AND((AG87)&gt;=MIN(AN87),(AG87)&lt;=MAX(AO87))</f>
        <v>1</v>
      </c>
      <c r="AR87" s="86" t="n">
        <f aca="false">AND((AJ87)&gt;=MIN(AN87),(AJ87)&lt;=MAX(AO87))</f>
        <v>1</v>
      </c>
    </row>
    <row r="88" s="38" customFormat="true" ht="57" hidden="false" customHeight="true" outlineLevel="0" collapsed="false">
      <c r="A88" s="28" t="n">
        <v>78</v>
      </c>
      <c r="B88" s="84" t="s">
        <v>879</v>
      </c>
      <c r="C88" s="60" t="s">
        <v>389</v>
      </c>
      <c r="D88" s="58" t="s">
        <v>27</v>
      </c>
      <c r="E88" s="59" t="n">
        <v>120</v>
      </c>
      <c r="F88" s="32" t="n">
        <f aca="false">P88</f>
        <v>673.96</v>
      </c>
      <c r="G88" s="42" t="s">
        <v>390</v>
      </c>
      <c r="H88" s="34" t="n">
        <f aca="false">15200/17/1.2*1.05</f>
        <v>782.35</v>
      </c>
      <c r="I88" s="34" t="n">
        <f aca="false">E88*H88</f>
        <v>93882</v>
      </c>
      <c r="J88" s="49" t="s">
        <v>391</v>
      </c>
      <c r="K88" s="34" t="n">
        <f aca="false">6190/8/1.2*1.05</f>
        <v>677.03</v>
      </c>
      <c r="L88" s="34" t="n">
        <f aca="false">E88*K88</f>
        <v>81243.6</v>
      </c>
      <c r="M88" s="42" t="s">
        <v>392</v>
      </c>
      <c r="N88" s="34" t="n">
        <f aca="false">12857/20/1.2*1.05</f>
        <v>562.49</v>
      </c>
      <c r="O88" s="34" t="n">
        <f aca="false">E88*N88</f>
        <v>67498.8</v>
      </c>
      <c r="P88" s="35" t="n">
        <f aca="false">AVERAGE(H88,K88,N88)</f>
        <v>673.96</v>
      </c>
      <c r="Q88" s="36" t="n">
        <f aca="false">F88*100/P88-100</f>
        <v>0</v>
      </c>
      <c r="R88" s="35" t="n">
        <f aca="false">P88*E88</f>
        <v>80875.2</v>
      </c>
      <c r="S88" s="37"/>
      <c r="U88" s="39" t="n">
        <f aca="false">ROUND(H88*100/P88-100,0)</f>
        <v>16</v>
      </c>
      <c r="V88" s="39" t="n">
        <f aca="false">ROUND(K88*100/P88-100,0)</f>
        <v>0</v>
      </c>
      <c r="W88" s="39" t="n">
        <f aca="false">ROUND(N88*100/P88-100,0)</f>
        <v>-17</v>
      </c>
      <c r="X88" s="85" t="n">
        <f aca="false">P88/1.2</f>
        <v>561.63</v>
      </c>
      <c r="Y88" s="85" t="n">
        <f aca="false">P88*1.2</f>
        <v>808.75</v>
      </c>
      <c r="Z88" s="86" t="n">
        <f aca="false">AND((H88)&gt;=MIN(X88),(H88)&lt;=MAX(Y88))</f>
        <v>1</v>
      </c>
      <c r="AA88" s="86" t="n">
        <f aca="false">AND((K88)&gt;=MIN(X88),(K88)&lt;=MAX(Y88))</f>
        <v>1</v>
      </c>
      <c r="AB88" s="86" t="n">
        <f aca="false">AND((N88)&gt;=MIN(X88),(N88)&lt;=MAX(Y88))</f>
        <v>1</v>
      </c>
      <c r="AC88" s="95" t="s">
        <v>877</v>
      </c>
      <c r="AD88" s="88" t="n">
        <f aca="false">569/1.2*1.05</f>
        <v>497.88</v>
      </c>
      <c r="AE88" s="88" t="n">
        <f aca="false">AD88*E88</f>
        <v>59745.6</v>
      </c>
      <c r="AF88" s="95" t="s">
        <v>878</v>
      </c>
      <c r="AG88" s="88" t="n">
        <f aca="false">13087/20/1.2*1.05</f>
        <v>572.56</v>
      </c>
      <c r="AH88" s="89" t="n">
        <f aca="false">AG88*E88</f>
        <v>68707.2</v>
      </c>
      <c r="AI88" s="95" t="s">
        <v>880</v>
      </c>
      <c r="AJ88" s="88" t="n">
        <f aca="false">11380/20/1.2*1.05</f>
        <v>497.88</v>
      </c>
      <c r="AK88" s="89" t="n">
        <f aca="false">AJ88*E88</f>
        <v>59745.6</v>
      </c>
      <c r="AL88" s="91" t="n">
        <f aca="false">AVERAGE(AD88,AG88,AJ88)</f>
        <v>522.77</v>
      </c>
      <c r="AM88" s="91" t="n">
        <f aca="false">((F88-AL88)/AL88)*100</f>
        <v>28.92</v>
      </c>
      <c r="AN88" s="92" t="n">
        <f aca="false">AL88/1.2</f>
        <v>435.64</v>
      </c>
      <c r="AO88" s="92" t="n">
        <f aca="false">AL88*1.2</f>
        <v>627.32</v>
      </c>
      <c r="AP88" s="86" t="n">
        <f aca="false">AND((AD88)&gt;=MIN(AN88),(AD88)&lt;=MAX(AO88))</f>
        <v>1</v>
      </c>
      <c r="AQ88" s="86" t="n">
        <f aca="false">AND((AG88)&gt;=MIN(AN88),(AG88)&lt;=MAX(AO88))</f>
        <v>1</v>
      </c>
      <c r="AR88" s="86" t="n">
        <f aca="false">AND((AJ88)&gt;=MIN(AN88),(AJ88)&lt;=MAX(AO88))</f>
        <v>1</v>
      </c>
    </row>
    <row r="89" s="38" customFormat="true" ht="105" hidden="false" customHeight="true" outlineLevel="0" collapsed="false">
      <c r="A89" s="28" t="n">
        <v>79</v>
      </c>
      <c r="B89" s="84" t="s">
        <v>881</v>
      </c>
      <c r="C89" s="60" t="s">
        <v>393</v>
      </c>
      <c r="D89" s="58" t="s">
        <v>27</v>
      </c>
      <c r="E89" s="59" t="n">
        <v>120</v>
      </c>
      <c r="F89" s="32" t="n">
        <f aca="false">P89</f>
        <v>1001.55</v>
      </c>
      <c r="G89" s="42" t="s">
        <v>394</v>
      </c>
      <c r="H89" s="34" t="n">
        <f aca="false">21420/17/1.2*1.05</f>
        <v>1102.5</v>
      </c>
      <c r="I89" s="34" t="n">
        <f aca="false">E89*H89</f>
        <v>132300</v>
      </c>
      <c r="J89" s="42" t="s">
        <v>395</v>
      </c>
      <c r="K89" s="34" t="n">
        <f aca="false">1135/1.2*1.05</f>
        <v>993.13</v>
      </c>
      <c r="L89" s="34" t="n">
        <f aca="false">E89*K89</f>
        <v>119175.6</v>
      </c>
      <c r="M89" s="42" t="s">
        <v>396</v>
      </c>
      <c r="N89" s="34" t="n">
        <f aca="false">935/900*1000/1.2*1.05</f>
        <v>909.03</v>
      </c>
      <c r="O89" s="34" t="n">
        <f aca="false">E89*N89</f>
        <v>109083.6</v>
      </c>
      <c r="P89" s="35" t="n">
        <f aca="false">AVERAGE(H89,K89,N89)</f>
        <v>1001.55</v>
      </c>
      <c r="Q89" s="36" t="n">
        <f aca="false">F89*100/P89-100</f>
        <v>0</v>
      </c>
      <c r="R89" s="35" t="n">
        <f aca="false">P89*E89</f>
        <v>120186</v>
      </c>
      <c r="S89" s="37"/>
      <c r="U89" s="39" t="n">
        <f aca="false">ROUND(H89*100/P89-100,0)</f>
        <v>10</v>
      </c>
      <c r="V89" s="39" t="n">
        <f aca="false">ROUND(K89*100/P89-100,0)</f>
        <v>-1</v>
      </c>
      <c r="W89" s="39" t="n">
        <f aca="false">ROUND(N89*100/P89-100,0)</f>
        <v>-9</v>
      </c>
      <c r="X89" s="85" t="n">
        <f aca="false">P89/1.2</f>
        <v>834.63</v>
      </c>
      <c r="Y89" s="85" t="n">
        <f aca="false">P89*1.2</f>
        <v>1201.86</v>
      </c>
      <c r="Z89" s="86" t="n">
        <f aca="false">AND((H89)&gt;=MIN(X89),(H89)&lt;=MAX(Y89))</f>
        <v>1</v>
      </c>
      <c r="AA89" s="86" t="n">
        <f aca="false">AND((K89)&gt;=MIN(X89),(K89)&lt;=MAX(Y89))</f>
        <v>1</v>
      </c>
      <c r="AB89" s="86" t="n">
        <f aca="false">AND((N89)&gt;=MIN(X89),(N89)&lt;=MAX(Y89))</f>
        <v>1</v>
      </c>
      <c r="AC89" s="95" t="s">
        <v>877</v>
      </c>
      <c r="AD89" s="88" t="n">
        <f aca="false">697/1.2*1.05</f>
        <v>609.88</v>
      </c>
      <c r="AE89" s="88" t="n">
        <f aca="false">AD89*E89</f>
        <v>73185.6</v>
      </c>
      <c r="AF89" s="95" t="s">
        <v>878</v>
      </c>
      <c r="AG89" s="88" t="n">
        <f aca="false">15847/20/1.2*1.05</f>
        <v>693.31</v>
      </c>
      <c r="AH89" s="89" t="n">
        <f aca="false">AG89*E89</f>
        <v>83197.2</v>
      </c>
      <c r="AI89" s="95" t="s">
        <v>882</v>
      </c>
      <c r="AJ89" s="88" t="n">
        <f aca="false">13940/20/1.2*1.05</f>
        <v>609.88</v>
      </c>
      <c r="AK89" s="89" t="n">
        <f aca="false">AJ89*E89</f>
        <v>73185.6</v>
      </c>
      <c r="AL89" s="91" t="n">
        <f aca="false">AVERAGE(AD89,AG89,AJ89)</f>
        <v>637.69</v>
      </c>
      <c r="AM89" s="91" t="n">
        <f aca="false">((F89-AL89)/AL89)*100</f>
        <v>57.06</v>
      </c>
      <c r="AN89" s="92" t="n">
        <f aca="false">AL89/1.2</f>
        <v>531.41</v>
      </c>
      <c r="AO89" s="92" t="n">
        <f aca="false">AL89*1.2</f>
        <v>765.23</v>
      </c>
      <c r="AP89" s="86" t="n">
        <f aca="false">AND((AD89)&gt;=MIN(AN89),(AD89)&lt;=MAX(AO89))</f>
        <v>1</v>
      </c>
      <c r="AQ89" s="86" t="n">
        <f aca="false">AND((AG89)&gt;=MIN(AN89),(AG89)&lt;=MAX(AO89))</f>
        <v>1</v>
      </c>
      <c r="AR89" s="86" t="n">
        <f aca="false">AND((AJ89)&gt;=MIN(AN89),(AJ89)&lt;=MAX(AO89))</f>
        <v>1</v>
      </c>
    </row>
    <row r="90" s="38" customFormat="true" ht="57.75" hidden="false" customHeight="true" outlineLevel="0" collapsed="false">
      <c r="A90" s="28" t="n">
        <v>80</v>
      </c>
      <c r="B90" s="84" t="s">
        <v>883</v>
      </c>
      <c r="C90" s="60" t="s">
        <v>397</v>
      </c>
      <c r="D90" s="58" t="s">
        <v>27</v>
      </c>
      <c r="E90" s="59" t="n">
        <v>90</v>
      </c>
      <c r="F90" s="32" t="n">
        <f aca="false">P90</f>
        <v>716.2</v>
      </c>
      <c r="G90" s="42" t="s">
        <v>398</v>
      </c>
      <c r="H90" s="34" t="n">
        <f aca="false">17400/20/1.2*1.05</f>
        <v>761.25</v>
      </c>
      <c r="I90" s="34" t="n">
        <f aca="false">E90*H90</f>
        <v>68512.5</v>
      </c>
      <c r="J90" s="42" t="s">
        <v>399</v>
      </c>
      <c r="K90" s="34" t="n">
        <f aca="false">797/900*1000/1.2*1.05</f>
        <v>774.86</v>
      </c>
      <c r="L90" s="34" t="n">
        <f aca="false">E90*K90</f>
        <v>69737.4</v>
      </c>
      <c r="M90" s="42" t="s">
        <v>400</v>
      </c>
      <c r="N90" s="34" t="n">
        <f aca="false">700/1.2*1.05</f>
        <v>612.5</v>
      </c>
      <c r="O90" s="34" t="n">
        <f aca="false">E90*N90</f>
        <v>55125</v>
      </c>
      <c r="P90" s="35" t="n">
        <f aca="false">AVERAGE(H90,K90,N90)</f>
        <v>716.2</v>
      </c>
      <c r="Q90" s="36" t="n">
        <f aca="false">F90*100/P90-100</f>
        <v>0</v>
      </c>
      <c r="R90" s="35" t="n">
        <f aca="false">P90*E90</f>
        <v>64458</v>
      </c>
      <c r="S90" s="37"/>
      <c r="U90" s="39" t="n">
        <f aca="false">ROUND(H90*100/P90-100,0)</f>
        <v>6</v>
      </c>
      <c r="V90" s="39" t="n">
        <f aca="false">ROUND(K90*100/P90-100,0)</f>
        <v>8</v>
      </c>
      <c r="W90" s="39" t="n">
        <f aca="false">ROUND(N90*100/P90-100,0)</f>
        <v>-14</v>
      </c>
      <c r="X90" s="85" t="n">
        <f aca="false">P90/1.2</f>
        <v>596.83</v>
      </c>
      <c r="Y90" s="85" t="n">
        <f aca="false">P90*1.2</f>
        <v>859.44</v>
      </c>
      <c r="Z90" s="86" t="n">
        <f aca="false">AND((H90)&gt;=MIN(X90),(H90)&lt;=MAX(Y90))</f>
        <v>1</v>
      </c>
      <c r="AA90" s="86" t="n">
        <f aca="false">AND((K90)&gt;=MIN(X90),(K90)&lt;=MAX(Y90))</f>
        <v>1</v>
      </c>
      <c r="AB90" s="86" t="n">
        <f aca="false">AND((N90)&gt;=MIN(X90),(N90)&lt;=MAX(Y90))</f>
        <v>1</v>
      </c>
      <c r="AC90" s="95" t="s">
        <v>877</v>
      </c>
      <c r="AD90" s="88" t="n">
        <f aca="false">569/1.2*1.02</f>
        <v>483.65</v>
      </c>
      <c r="AE90" s="88" t="n">
        <f aca="false">AD90*E90</f>
        <v>43528.5</v>
      </c>
      <c r="AF90" s="95" t="s">
        <v>878</v>
      </c>
      <c r="AG90" s="88" t="n">
        <f aca="false">13087/20/1.2*1.05</f>
        <v>572.56</v>
      </c>
      <c r="AH90" s="89" t="n">
        <f aca="false">AG90*E90</f>
        <v>51530.4</v>
      </c>
      <c r="AI90" s="95" t="s">
        <v>884</v>
      </c>
      <c r="AJ90" s="88" t="n">
        <f aca="false">11380/1.2/20*1.05</f>
        <v>497.88</v>
      </c>
      <c r="AK90" s="89" t="n">
        <f aca="false">AJ90*E90</f>
        <v>44809.2</v>
      </c>
      <c r="AL90" s="91" t="n">
        <f aca="false">AVERAGE(AD90,AG90,AJ90)</f>
        <v>518.03</v>
      </c>
      <c r="AM90" s="91" t="n">
        <f aca="false">((F90-AL90)/AL90)*100</f>
        <v>38.25</v>
      </c>
      <c r="AN90" s="92" t="n">
        <f aca="false">AL90/1.2</f>
        <v>431.69</v>
      </c>
      <c r="AO90" s="92" t="n">
        <f aca="false">AL90*1.2</f>
        <v>621.64</v>
      </c>
      <c r="AP90" s="86" t="n">
        <f aca="false">AND((AD90)&gt;=MIN(AN90),(AD90)&lt;=MAX(AO90))</f>
        <v>1</v>
      </c>
      <c r="AQ90" s="86" t="n">
        <f aca="false">AND((AG90)&gt;=MIN(AN90),(AG90)&lt;=MAX(AO90))</f>
        <v>1</v>
      </c>
      <c r="AR90" s="86" t="n">
        <f aca="false">AND((AJ90)&gt;=MIN(AN90),(AJ90)&lt;=MAX(AO90))</f>
        <v>1</v>
      </c>
    </row>
    <row r="91" s="38" customFormat="true" ht="50.25" hidden="false" customHeight="true" outlineLevel="0" collapsed="false">
      <c r="A91" s="28" t="n">
        <v>81</v>
      </c>
      <c r="B91" s="84" t="s">
        <v>885</v>
      </c>
      <c r="C91" s="60" t="s">
        <v>401</v>
      </c>
      <c r="D91" s="58" t="s">
        <v>27</v>
      </c>
      <c r="E91" s="59" t="n">
        <v>25</v>
      </c>
      <c r="F91" s="32" t="n">
        <f aca="false">P91</f>
        <v>1197.27</v>
      </c>
      <c r="G91" s="42" t="s">
        <v>402</v>
      </c>
      <c r="H91" s="34" t="n">
        <f aca="false">1521.93/1.2*1.05</f>
        <v>1331.69</v>
      </c>
      <c r="I91" s="34" t="n">
        <f aca="false">E91*H91</f>
        <v>33292.25</v>
      </c>
      <c r="J91" s="42" t="s">
        <v>403</v>
      </c>
      <c r="K91" s="34" t="n">
        <f aca="false">1386/1.2*1.05</f>
        <v>1212.75</v>
      </c>
      <c r="L91" s="34" t="n">
        <f aca="false">E91*K91</f>
        <v>30318.75</v>
      </c>
      <c r="M91" s="42" t="s">
        <v>404</v>
      </c>
      <c r="N91" s="34" t="n">
        <f aca="false">1197/1.2*1.05</f>
        <v>1047.38</v>
      </c>
      <c r="O91" s="34" t="n">
        <f aca="false">E91*N91</f>
        <v>26184.5</v>
      </c>
      <c r="P91" s="35" t="n">
        <f aca="false">AVERAGE(H91,K91,N91)</f>
        <v>1197.27</v>
      </c>
      <c r="Q91" s="36" t="n">
        <f aca="false">F91*100/P91-100</f>
        <v>0</v>
      </c>
      <c r="R91" s="35" t="n">
        <f aca="false">P91*E91</f>
        <v>29931.75</v>
      </c>
      <c r="S91" s="37"/>
      <c r="U91" s="39" t="n">
        <f aca="false">ROUND(H91*100/P91-100,0)</f>
        <v>11</v>
      </c>
      <c r="V91" s="39" t="n">
        <f aca="false">ROUND(K91*100/P91-100,0)</f>
        <v>1</v>
      </c>
      <c r="W91" s="39" t="n">
        <f aca="false">ROUND(N91*100/P91-100,0)</f>
        <v>-13</v>
      </c>
      <c r="X91" s="85" t="n">
        <f aca="false">P91/1.2</f>
        <v>997.73</v>
      </c>
      <c r="Y91" s="85" t="n">
        <f aca="false">P91*1.2</f>
        <v>1436.72</v>
      </c>
      <c r="Z91" s="86" t="n">
        <f aca="false">AND((H91)&gt;=MIN(X91),(H91)&lt;=MAX(Y91))</f>
        <v>1</v>
      </c>
      <c r="AA91" s="86" t="n">
        <f aca="false">AND((K91)&gt;=MIN(X91),(K91)&lt;=MAX(Y91))</f>
        <v>1</v>
      </c>
      <c r="AB91" s="86" t="n">
        <f aca="false">AND((N91)&gt;=MIN(X91),(N91)&lt;=MAX(Y91))</f>
        <v>1</v>
      </c>
      <c r="AC91" s="95" t="s">
        <v>886</v>
      </c>
      <c r="AD91" s="88" t="n">
        <f aca="false">13140/17/1.2*1.05</f>
        <v>676.32</v>
      </c>
      <c r="AE91" s="88" t="n">
        <f aca="false">AD91*E91</f>
        <v>16908</v>
      </c>
      <c r="AF91" s="95" t="s">
        <v>887</v>
      </c>
      <c r="AG91" s="88" t="n">
        <f aca="false">15191/20/1.2*1.05</f>
        <v>664.61</v>
      </c>
      <c r="AH91" s="89" t="n">
        <f aca="false">AG91*E91</f>
        <v>16615.25</v>
      </c>
      <c r="AI91" s="94" t="s">
        <v>888</v>
      </c>
      <c r="AJ91" s="88" t="n">
        <f aca="false">12000/20/1.2*1.05</f>
        <v>525</v>
      </c>
      <c r="AK91" s="89" t="n">
        <f aca="false">AJ91*E91</f>
        <v>13125</v>
      </c>
      <c r="AL91" s="91" t="n">
        <f aca="false">AVERAGE(AD91,AG91,AJ91)</f>
        <v>621.98</v>
      </c>
      <c r="AM91" s="91" t="n">
        <f aca="false">((F91-AL91)/AL91)*100</f>
        <v>92.49</v>
      </c>
      <c r="AN91" s="92" t="n">
        <f aca="false">AL91/1.2</f>
        <v>518.32</v>
      </c>
      <c r="AO91" s="92" t="n">
        <f aca="false">AL91*1.2</f>
        <v>746.38</v>
      </c>
      <c r="AP91" s="86" t="n">
        <f aca="false">AND((AD91)&gt;=MIN(AN91),(AD91)&lt;=MAX(AO91))</f>
        <v>1</v>
      </c>
      <c r="AQ91" s="86" t="n">
        <f aca="false">AND((AG91)&gt;=MIN(AN91),(AG91)&lt;=MAX(AO91))</f>
        <v>1</v>
      </c>
      <c r="AR91" s="86" t="n">
        <f aca="false">AND((AJ91)&gt;=MIN(AN91),(AJ91)&lt;=MAX(AO91))</f>
        <v>1</v>
      </c>
    </row>
    <row r="92" s="38" customFormat="true" ht="65.25" hidden="false" customHeight="true" outlineLevel="0" collapsed="false">
      <c r="A92" s="28" t="n">
        <v>82</v>
      </c>
      <c r="B92" s="84" t="s">
        <v>889</v>
      </c>
      <c r="C92" s="60" t="s">
        <v>405</v>
      </c>
      <c r="D92" s="58" t="s">
        <v>27</v>
      </c>
      <c r="E92" s="59" t="n">
        <v>676</v>
      </c>
      <c r="F92" s="32" t="n">
        <f aca="false">P92</f>
        <v>818.53</v>
      </c>
      <c r="G92" s="49" t="s">
        <v>406</v>
      </c>
      <c r="H92" s="34" t="n">
        <f aca="false">865/900*1000/1.2*1.05</f>
        <v>840.97</v>
      </c>
      <c r="I92" s="34" t="n">
        <f aca="false">E92*H92</f>
        <v>568495.72</v>
      </c>
      <c r="J92" s="46" t="s">
        <v>407</v>
      </c>
      <c r="K92" s="34" t="n">
        <f aca="false">16580/17/1.2*1.05</f>
        <v>853.38</v>
      </c>
      <c r="L92" s="34" t="n">
        <f aca="false">E92*K92</f>
        <v>576884.88</v>
      </c>
      <c r="M92" s="42" t="s">
        <v>398</v>
      </c>
      <c r="N92" s="34" t="n">
        <f aca="false">17400/20/1.2*1.05</f>
        <v>761.25</v>
      </c>
      <c r="O92" s="34" t="n">
        <f aca="false">E92*N92</f>
        <v>514605</v>
      </c>
      <c r="P92" s="35" t="n">
        <f aca="false">AVERAGE(H92,K92,N92)</f>
        <v>818.53</v>
      </c>
      <c r="Q92" s="36" t="n">
        <f aca="false">F92*100/P92-100</f>
        <v>0</v>
      </c>
      <c r="R92" s="35" t="n">
        <f aca="false">P92*E92</f>
        <v>553326.28</v>
      </c>
      <c r="S92" s="37"/>
      <c r="U92" s="39" t="n">
        <f aca="false">ROUND(H92*100/P92-100,0)</f>
        <v>3</v>
      </c>
      <c r="V92" s="39" t="n">
        <f aca="false">ROUND(K92*100/P92-100,0)</f>
        <v>4</v>
      </c>
      <c r="W92" s="39" t="n">
        <f aca="false">ROUND(N92*100/P92-100,0)</f>
        <v>-7</v>
      </c>
      <c r="X92" s="85" t="n">
        <f aca="false">P92/1.2</f>
        <v>682.11</v>
      </c>
      <c r="Y92" s="85" t="n">
        <f aca="false">P92*1.2</f>
        <v>982.24</v>
      </c>
      <c r="Z92" s="86" t="n">
        <f aca="false">AND((H92)&gt;=MIN(X92),(H92)&lt;=MAX(Y92))</f>
        <v>1</v>
      </c>
      <c r="AA92" s="86" t="n">
        <f aca="false">AND((K92)&gt;=MIN(X92),(K92)&lt;=MAX(Y92))</f>
        <v>1</v>
      </c>
      <c r="AB92" s="86" t="n">
        <f aca="false">AND((N92)&gt;=MIN(X92),(N92)&lt;=MAX(Y92))</f>
        <v>1</v>
      </c>
      <c r="AC92" s="95" t="s">
        <v>877</v>
      </c>
      <c r="AD92" s="88" t="n">
        <f aca="false">569/1.2*1.05</f>
        <v>497.88</v>
      </c>
      <c r="AE92" s="88" t="n">
        <f aca="false">AD92*E92</f>
        <v>336566.88</v>
      </c>
      <c r="AF92" s="95" t="s">
        <v>878</v>
      </c>
      <c r="AG92" s="88" t="n">
        <f aca="false">13087/20/1.2*1.05</f>
        <v>572.56</v>
      </c>
      <c r="AH92" s="89" t="n">
        <f aca="false">AG92*E92</f>
        <v>387050.56</v>
      </c>
      <c r="AI92" s="95" t="s">
        <v>890</v>
      </c>
      <c r="AJ92" s="88" t="n">
        <f aca="false">11380/20/1.2*1.05</f>
        <v>497.88</v>
      </c>
      <c r="AK92" s="89" t="n">
        <f aca="false">AJ92*E92</f>
        <v>336566.88</v>
      </c>
      <c r="AL92" s="91" t="n">
        <f aca="false">AVERAGE(AD92,AG92,AJ92)</f>
        <v>522.77</v>
      </c>
      <c r="AM92" s="91" t="n">
        <f aca="false">((F92-AL92)/AL92)*100</f>
        <v>56.58</v>
      </c>
      <c r="AN92" s="92" t="n">
        <f aca="false">AL92/1.2</f>
        <v>435.64</v>
      </c>
      <c r="AO92" s="92" t="n">
        <f aca="false">AL92*1.2</f>
        <v>627.32</v>
      </c>
      <c r="AP92" s="86" t="n">
        <f aca="false">AND((AD92)&gt;=MIN(AN92),(AD92)&lt;=MAX(AO92))</f>
        <v>1</v>
      </c>
      <c r="AQ92" s="86" t="n">
        <f aca="false">AND((AG92)&gt;=MIN(AN92),(AG92)&lt;=MAX(AO92))</f>
        <v>1</v>
      </c>
      <c r="AR92" s="86" t="n">
        <f aca="false">AND((AJ92)&gt;=MIN(AN92),(AJ92)&lt;=MAX(AO92))</f>
        <v>1</v>
      </c>
    </row>
    <row r="93" s="38" customFormat="true" ht="108" hidden="false" customHeight="true" outlineLevel="0" collapsed="false">
      <c r="A93" s="28" t="n">
        <v>83</v>
      </c>
      <c r="B93" s="99"/>
      <c r="C93" s="60" t="s">
        <v>438</v>
      </c>
      <c r="D93" s="58" t="s">
        <v>143</v>
      </c>
      <c r="E93" s="59" t="n">
        <v>75</v>
      </c>
      <c r="F93" s="32" t="n">
        <f aca="false">P93</f>
        <v>289.55</v>
      </c>
      <c r="G93" s="42" t="s">
        <v>439</v>
      </c>
      <c r="H93" s="34" t="n">
        <f aca="false">326/1.2*1.05</f>
        <v>285.25</v>
      </c>
      <c r="I93" s="34" t="n">
        <f aca="false">E93*H93</f>
        <v>21393.75</v>
      </c>
      <c r="J93" s="42" t="s">
        <v>440</v>
      </c>
      <c r="K93" s="34" t="n">
        <f aca="false">351/1.2*1.05</f>
        <v>307.13</v>
      </c>
      <c r="L93" s="34" t="n">
        <f aca="false">E93*K93</f>
        <v>23034.75</v>
      </c>
      <c r="M93" s="42" t="s">
        <v>441</v>
      </c>
      <c r="N93" s="34" t="n">
        <f aca="false">315.74/1.2*1.05</f>
        <v>276.27</v>
      </c>
      <c r="O93" s="34" t="n">
        <f aca="false">E93*N93</f>
        <v>20720.25</v>
      </c>
      <c r="P93" s="35" t="n">
        <f aca="false">AVERAGE(H93,K93,N93)</f>
        <v>289.55</v>
      </c>
      <c r="Q93" s="36" t="n">
        <f aca="false">F93*100/P93-100</f>
        <v>0</v>
      </c>
      <c r="R93" s="35" t="n">
        <f aca="false">P93*E93</f>
        <v>21716.25</v>
      </c>
      <c r="S93" s="37"/>
      <c r="U93" s="39" t="n">
        <f aca="false">ROUND(H93*100/P93-100,0)</f>
        <v>-1</v>
      </c>
      <c r="V93" s="39" t="n">
        <f aca="false">ROUND(K93*100/P93-100,0)</f>
        <v>6</v>
      </c>
      <c r="W93" s="39" t="n">
        <f aca="false">ROUND(N93*100/P93-100,0)</f>
        <v>-5</v>
      </c>
      <c r="X93" s="85" t="n">
        <f aca="false">P93/1.2</f>
        <v>241.29</v>
      </c>
      <c r="Y93" s="85" t="n">
        <f aca="false">P93*1.2</f>
        <v>347.46</v>
      </c>
      <c r="Z93" s="86" t="n">
        <f aca="false">AND((H93)&gt;=MIN(X93),(H93)&lt;=MAX(Y93))</f>
        <v>1</v>
      </c>
      <c r="AA93" s="86" t="n">
        <f aca="false">AND((K93)&gt;=MIN(X93),(K93)&lt;=MAX(Y93))</f>
        <v>1</v>
      </c>
      <c r="AB93" s="86" t="n">
        <f aca="false">AND((N93)&gt;=MIN(X93),(N93)&lt;=MAX(Y93))</f>
        <v>1</v>
      </c>
      <c r="AC93" s="95" t="s">
        <v>891</v>
      </c>
      <c r="AD93" s="88" t="n">
        <f aca="false">338/1.2*1.05</f>
        <v>295.75</v>
      </c>
      <c r="AE93" s="88" t="n">
        <f aca="false">AD93*E93</f>
        <v>22181.25</v>
      </c>
      <c r="AF93" s="95" t="s">
        <v>892</v>
      </c>
      <c r="AG93" s="88" t="n">
        <f aca="false">349/1.2*1.05</f>
        <v>305.38</v>
      </c>
      <c r="AH93" s="89" t="n">
        <f aca="false">AG93*E93</f>
        <v>22903.5</v>
      </c>
      <c r="AI93" s="95" t="s">
        <v>893</v>
      </c>
      <c r="AJ93" s="88" t="n">
        <f aca="false">953/3*1.05</f>
        <v>333.55</v>
      </c>
      <c r="AK93" s="89" t="n">
        <f aca="false">AJ93*E93</f>
        <v>25016.25</v>
      </c>
      <c r="AL93" s="91" t="n">
        <f aca="false">AVERAGE(AD93,AG93,AJ93)</f>
        <v>311.56</v>
      </c>
      <c r="AM93" s="91" t="n">
        <f aca="false">((F93-AL93)/AL93)*100</f>
        <v>-7.06</v>
      </c>
      <c r="AN93" s="92" t="n">
        <f aca="false">AL93/1.2</f>
        <v>259.63</v>
      </c>
      <c r="AO93" s="92" t="n">
        <f aca="false">AL93*1.2</f>
        <v>373.87</v>
      </c>
      <c r="AP93" s="86" t="n">
        <f aca="false">AND((AD93)&gt;=MIN(AN93),(AD93)&lt;=MAX(AO93))</f>
        <v>1</v>
      </c>
      <c r="AQ93" s="86" t="n">
        <f aca="false">AND((AG93)&gt;=MIN(AN93),(AG93)&lt;=MAX(AO93))</f>
        <v>1</v>
      </c>
      <c r="AR93" s="86" t="n">
        <f aca="false">AND((AJ93)&gt;=MIN(AN93),(AJ93)&lt;=MAX(AO93))</f>
        <v>1</v>
      </c>
    </row>
    <row r="94" s="38" customFormat="true" ht="94.5" hidden="false" customHeight="true" outlineLevel="0" collapsed="false">
      <c r="A94" s="28" t="n">
        <v>84</v>
      </c>
      <c r="B94" s="99"/>
      <c r="C94" s="60" t="s">
        <v>470</v>
      </c>
      <c r="D94" s="58" t="s">
        <v>143</v>
      </c>
      <c r="E94" s="59" t="n">
        <v>230</v>
      </c>
      <c r="F94" s="32" t="n">
        <f aca="false">P94</f>
        <v>584.74</v>
      </c>
      <c r="G94" s="33" t="s">
        <v>471</v>
      </c>
      <c r="H94" s="34" t="n">
        <f aca="false">670/1.2*1.05</f>
        <v>586.25</v>
      </c>
      <c r="I94" s="34" t="n">
        <f aca="false">E94*H94</f>
        <v>134837.5</v>
      </c>
      <c r="J94" s="33" t="s">
        <v>472</v>
      </c>
      <c r="K94" s="34" t="n">
        <f aca="false">667.8/1.2*1.05</f>
        <v>584.33</v>
      </c>
      <c r="L94" s="34" t="n">
        <f aca="false">E94*K94</f>
        <v>134395.9</v>
      </c>
      <c r="M94" s="33" t="s">
        <v>473</v>
      </c>
      <c r="N94" s="34" t="n">
        <f aca="false">667/1.2*1.05</f>
        <v>583.63</v>
      </c>
      <c r="O94" s="34" t="n">
        <f aca="false">E94*N94</f>
        <v>134234.9</v>
      </c>
      <c r="P94" s="35" t="n">
        <f aca="false">AVERAGE(H94,K94,N94)</f>
        <v>584.74</v>
      </c>
      <c r="Q94" s="36" t="n">
        <f aca="false">F94*100/P94-100</f>
        <v>0</v>
      </c>
      <c r="R94" s="35" t="n">
        <f aca="false">P94*E94</f>
        <v>134490.2</v>
      </c>
      <c r="S94" s="37"/>
      <c r="U94" s="39" t="n">
        <f aca="false">ROUND(H94*100/P94-100,0)</f>
        <v>0</v>
      </c>
      <c r="V94" s="39" t="n">
        <f aca="false">ROUND(K94*100/P94-100,0)</f>
        <v>-0</v>
      </c>
      <c r="W94" s="39" t="n">
        <f aca="false">ROUND(N94*100/P94-100,0)</f>
        <v>-0</v>
      </c>
      <c r="X94" s="85" t="n">
        <f aca="false">P94/1.2</f>
        <v>487.28</v>
      </c>
      <c r="Y94" s="85" t="n">
        <f aca="false">P94*1.2</f>
        <v>701.69</v>
      </c>
      <c r="Z94" s="86" t="n">
        <f aca="false">AND((H94)&gt;=MIN(X94),(H94)&lt;=MAX(Y94))</f>
        <v>1</v>
      </c>
      <c r="AA94" s="86" t="n">
        <f aca="false">AND((K94)&gt;=MIN(X94),(K94)&lt;=MAX(Y94))</f>
        <v>1</v>
      </c>
      <c r="AB94" s="86" t="n">
        <f aca="false">AND((N94)&gt;=MIN(X94),(N94)&lt;=MAX(Y94))</f>
        <v>1</v>
      </c>
      <c r="AC94" s="95" t="s">
        <v>894</v>
      </c>
      <c r="AD94" s="88" t="n">
        <f aca="false">667/1.2*1.05</f>
        <v>583.63</v>
      </c>
      <c r="AE94" s="88" t="n">
        <f aca="false">AD94*E94</f>
        <v>134234.9</v>
      </c>
      <c r="AF94" s="95" t="s">
        <v>895</v>
      </c>
      <c r="AG94" s="88" t="n">
        <f aca="false">791/1.2*1.05</f>
        <v>692.13</v>
      </c>
      <c r="AH94" s="89" t="n">
        <f aca="false">AG94*E94</f>
        <v>159189.9</v>
      </c>
      <c r="AI94" s="95" t="s">
        <v>896</v>
      </c>
      <c r="AJ94" s="88" t="n">
        <f aca="false">700/1.2*1.05</f>
        <v>612.5</v>
      </c>
      <c r="AK94" s="89" t="n">
        <f aca="false">AJ94*E94</f>
        <v>140875</v>
      </c>
      <c r="AL94" s="91" t="n">
        <f aca="false">AVERAGE(AD94,AG94,AJ94)</f>
        <v>629.42</v>
      </c>
      <c r="AM94" s="91" t="n">
        <f aca="false">((F94-AL94)/AL94)*100</f>
        <v>-7.1</v>
      </c>
      <c r="AN94" s="92" t="n">
        <f aca="false">AL94/1.2</f>
        <v>524.52</v>
      </c>
      <c r="AO94" s="92" t="n">
        <f aca="false">AL94*1.2</f>
        <v>755.3</v>
      </c>
      <c r="AP94" s="86" t="n">
        <f aca="false">AND((AD94)&gt;=MIN(AN94),(AD94)&lt;=MAX(AO94))</f>
        <v>1</v>
      </c>
      <c r="AQ94" s="86" t="n">
        <f aca="false">AND((AG94)&gt;=MIN(AN94),(AG94)&lt;=MAX(AO94))</f>
        <v>1</v>
      </c>
      <c r="AR94" s="86" t="n">
        <f aca="false">AND((AJ94)&gt;=MIN(AN94),(AJ94)&lt;=MAX(AO94))</f>
        <v>1</v>
      </c>
    </row>
    <row r="95" s="38" customFormat="true" ht="76.5" hidden="false" customHeight="true" outlineLevel="0" collapsed="false">
      <c r="A95" s="28" t="n">
        <v>85</v>
      </c>
      <c r="B95" s="99"/>
      <c r="C95" s="60" t="s">
        <v>495</v>
      </c>
      <c r="D95" s="58" t="s">
        <v>143</v>
      </c>
      <c r="E95" s="59" t="n">
        <v>180</v>
      </c>
      <c r="F95" s="32" t="n">
        <f aca="false">P95</f>
        <v>325.8</v>
      </c>
      <c r="G95" s="42" t="s">
        <v>496</v>
      </c>
      <c r="H95" s="34" t="n">
        <f aca="false">369/1.2*1.05</f>
        <v>322.88</v>
      </c>
      <c r="I95" s="34" t="n">
        <f aca="false">E95*H95</f>
        <v>58118.4</v>
      </c>
      <c r="J95" s="42" t="s">
        <v>497</v>
      </c>
      <c r="K95" s="34" t="n">
        <f aca="false">379/1.2*1.05</f>
        <v>331.63</v>
      </c>
      <c r="L95" s="34" t="n">
        <f aca="false">E95*K95</f>
        <v>59693.4</v>
      </c>
      <c r="M95" s="42" t="s">
        <v>498</v>
      </c>
      <c r="N95" s="34" t="n">
        <f aca="false">369/1.2*1.05</f>
        <v>322.88</v>
      </c>
      <c r="O95" s="34" t="n">
        <f aca="false">E95*N95</f>
        <v>58118.4</v>
      </c>
      <c r="P95" s="35" t="n">
        <f aca="false">AVERAGE(H95,K95,N95)</f>
        <v>325.8</v>
      </c>
      <c r="Q95" s="36" t="n">
        <f aca="false">F95*100/P95-100</f>
        <v>0</v>
      </c>
      <c r="R95" s="35" t="n">
        <f aca="false">P95*E95</f>
        <v>58644</v>
      </c>
      <c r="S95" s="37"/>
      <c r="U95" s="39" t="n">
        <f aca="false">ROUND(H95*100/P95-100,0)</f>
        <v>-1</v>
      </c>
      <c r="V95" s="39" t="n">
        <f aca="false">ROUND(K95*100/P95-100,0)</f>
        <v>2</v>
      </c>
      <c r="W95" s="39" t="n">
        <f aca="false">ROUND(N95*100/P95-100,0)</f>
        <v>-1</v>
      </c>
      <c r="X95" s="85" t="n">
        <f aca="false">P95/1.2</f>
        <v>271.5</v>
      </c>
      <c r="Y95" s="85" t="n">
        <f aca="false">P95*1.2</f>
        <v>390.96</v>
      </c>
      <c r="Z95" s="86" t="n">
        <f aca="false">AND((H95)&gt;=MIN(X95),(H95)&lt;=MAX(Y95))</f>
        <v>1</v>
      </c>
      <c r="AA95" s="86" t="n">
        <f aca="false">AND((K95)&gt;=MIN(X95),(K95)&lt;=MAX(Y95))</f>
        <v>1</v>
      </c>
      <c r="AB95" s="86" t="n">
        <f aca="false">AND((N95)&gt;=MIN(X95),(N95)&lt;=MAX(Y95))</f>
        <v>1</v>
      </c>
      <c r="AC95" s="95" t="s">
        <v>897</v>
      </c>
      <c r="AD95" s="88" t="n">
        <f aca="false">400/1.2*1.05</f>
        <v>350</v>
      </c>
      <c r="AE95" s="88" t="n">
        <f aca="false">AD95*E95</f>
        <v>63000</v>
      </c>
      <c r="AF95" s="95" t="s">
        <v>898</v>
      </c>
      <c r="AG95" s="88" t="n">
        <f aca="false">364.2/1.2*1.05</f>
        <v>318.68</v>
      </c>
      <c r="AH95" s="89" t="n">
        <f aca="false">AG95*E95</f>
        <v>57362.4</v>
      </c>
      <c r="AI95" s="95" t="s">
        <v>899</v>
      </c>
      <c r="AJ95" s="88" t="n">
        <f aca="false">379/1.2*1.05</f>
        <v>331.63</v>
      </c>
      <c r="AK95" s="89" t="n">
        <f aca="false">AJ95*E95</f>
        <v>59693.4</v>
      </c>
      <c r="AL95" s="91" t="n">
        <f aca="false">AVERAGE(AD95,AG95,AJ95)</f>
        <v>333.44</v>
      </c>
      <c r="AM95" s="91" t="n">
        <f aca="false">((F95-AL95)/AL95)*100</f>
        <v>-2.29</v>
      </c>
      <c r="AN95" s="92" t="n">
        <f aca="false">AL95/1.2</f>
        <v>277.87</v>
      </c>
      <c r="AO95" s="92" t="n">
        <f aca="false">AL95*1.2</f>
        <v>400.13</v>
      </c>
      <c r="AP95" s="86" t="n">
        <f aca="false">AND((AD95)&gt;=MIN(AN95),(AD95)&lt;=MAX(AO95))</f>
        <v>1</v>
      </c>
      <c r="AQ95" s="86" t="n">
        <f aca="false">AND((AG95)&gt;=MIN(AN95),(AG95)&lt;=MAX(AO95))</f>
        <v>1</v>
      </c>
      <c r="AR95" s="86" t="n">
        <f aca="false">AND((AJ95)&gt;=MIN(AN95),(AJ95)&lt;=MAX(AO95))</f>
        <v>1</v>
      </c>
    </row>
    <row r="96" s="38" customFormat="true" ht="51" hidden="false" customHeight="true" outlineLevel="0" collapsed="false">
      <c r="A96" s="28" t="n">
        <v>86</v>
      </c>
      <c r="B96" s="104" t="s">
        <v>900</v>
      </c>
      <c r="C96" s="60" t="s">
        <v>503</v>
      </c>
      <c r="D96" s="58" t="s">
        <v>64</v>
      </c>
      <c r="E96" s="59" t="n">
        <v>1002</v>
      </c>
      <c r="F96" s="32" t="n">
        <f aca="false">P96</f>
        <v>105</v>
      </c>
      <c r="G96" s="42" t="s">
        <v>504</v>
      </c>
      <c r="H96" s="34" t="n">
        <f aca="false">120/1.2*1.05</f>
        <v>105</v>
      </c>
      <c r="I96" s="34" t="n">
        <f aca="false">E96*H96</f>
        <v>105210</v>
      </c>
      <c r="J96" s="42" t="s">
        <v>505</v>
      </c>
      <c r="K96" s="34" t="n">
        <f aca="false">120/1.2*1.05</f>
        <v>105</v>
      </c>
      <c r="L96" s="34" t="n">
        <f aca="false">E96*K96</f>
        <v>105210</v>
      </c>
      <c r="M96" s="42" t="s">
        <v>506</v>
      </c>
      <c r="N96" s="34" t="n">
        <f aca="false">120/1.2*1.05</f>
        <v>105</v>
      </c>
      <c r="O96" s="34" t="n">
        <f aca="false">E96*N96</f>
        <v>105210</v>
      </c>
      <c r="P96" s="35" t="n">
        <f aca="false">AVERAGE(H96,K96,N96)</f>
        <v>105</v>
      </c>
      <c r="Q96" s="36" t="n">
        <f aca="false">F96*100/P96-100</f>
        <v>0</v>
      </c>
      <c r="R96" s="35" t="n">
        <f aca="false">P96*E96</f>
        <v>105210</v>
      </c>
      <c r="S96" s="37" t="s">
        <v>507</v>
      </c>
      <c r="U96" s="39" t="n">
        <f aca="false">ROUND(H96*100/P96-100,0)</f>
        <v>0</v>
      </c>
      <c r="V96" s="39" t="n">
        <f aca="false">ROUND(K96*100/P96-100,0)</f>
        <v>0</v>
      </c>
      <c r="W96" s="39" t="n">
        <f aca="false">ROUND(N96*100/P96-100,0)</f>
        <v>0</v>
      </c>
      <c r="X96" s="85" t="n">
        <f aca="false">P96/1.2</f>
        <v>87.5</v>
      </c>
      <c r="Y96" s="85" t="n">
        <f aca="false">P96*1.2</f>
        <v>126</v>
      </c>
      <c r="Z96" s="86" t="n">
        <f aca="false">AND((H96)&gt;=MIN(X96),(H96)&lt;=MAX(Y96))</f>
        <v>1</v>
      </c>
      <c r="AA96" s="86" t="n">
        <f aca="false">AND((K96)&gt;=MIN(X96),(K96)&lt;=MAX(Y96))</f>
        <v>1</v>
      </c>
      <c r="AB96" s="86" t="n">
        <f aca="false">AND((N96)&gt;=MIN(X96),(N96)&lt;=MAX(Y96))</f>
        <v>1</v>
      </c>
      <c r="AC96" s="95"/>
      <c r="AD96" s="88"/>
      <c r="AE96" s="88" t="n">
        <f aca="false">AD96*E96</f>
        <v>0</v>
      </c>
      <c r="AF96" s="95"/>
      <c r="AG96" s="88"/>
      <c r="AH96" s="89" t="n">
        <f aca="false">AG96*E96</f>
        <v>0</v>
      </c>
      <c r="AI96" s="95"/>
      <c r="AJ96" s="88"/>
      <c r="AK96" s="89" t="n">
        <f aca="false">AJ96*E96</f>
        <v>0</v>
      </c>
      <c r="AL96" s="91" t="e">
        <f aca="false">AVERAGE(AD96,AG96,AJ96)</f>
        <v>#DIV/0!</v>
      </c>
      <c r="AM96" s="91" t="e">
        <f aca="false">((F96-AL96)/AL96)*100</f>
        <v>#DIV/0!</v>
      </c>
      <c r="AN96" s="92" t="e">
        <f aca="false">AL96/1.2</f>
        <v>#DIV/0!</v>
      </c>
      <c r="AO96" s="92" t="e">
        <f aca="false">AL96*1.2</f>
        <v>#DIV/0!</v>
      </c>
      <c r="AP96" s="86" t="e">
        <f aca="false">AND((AD96)&gt;=MIN(AN96),(AD96)&lt;=MAX(AO96))</f>
        <v>#DIV/0!</v>
      </c>
      <c r="AQ96" s="86" t="e">
        <f aca="false">AND((AG96)&gt;=MIN(AN96),(AG96)&lt;=MAX(AO96))</f>
        <v>#DIV/0!</v>
      </c>
      <c r="AR96" s="86" t="e">
        <f aca="false">AND((AJ96)&gt;=MIN(AN96),(AJ96)&lt;=MAX(AO96))</f>
        <v>#DIV/0!</v>
      </c>
    </row>
    <row r="97" s="38" customFormat="true" ht="51" hidden="false" customHeight="true" outlineLevel="0" collapsed="false">
      <c r="A97" s="28" t="n">
        <v>87</v>
      </c>
      <c r="B97" s="104" t="s">
        <v>900</v>
      </c>
      <c r="C97" s="60" t="s">
        <v>508</v>
      </c>
      <c r="D97" s="58" t="s">
        <v>27</v>
      </c>
      <c r="E97" s="59" t="n">
        <v>265</v>
      </c>
      <c r="F97" s="32" t="n">
        <f aca="false">P97</f>
        <v>72.86</v>
      </c>
      <c r="G97" s="42" t="s">
        <v>509</v>
      </c>
      <c r="H97" s="34" t="n">
        <f aca="false">88.8/1.2*1.05</f>
        <v>77.7</v>
      </c>
      <c r="I97" s="34" t="n">
        <f aca="false">E97*H97</f>
        <v>20590.5</v>
      </c>
      <c r="J97" s="42" t="s">
        <v>510</v>
      </c>
      <c r="K97" s="34" t="n">
        <f aca="false">2000/25/1.2*1.05</f>
        <v>70</v>
      </c>
      <c r="L97" s="34" t="n">
        <f aca="false">E97*K97</f>
        <v>18550</v>
      </c>
      <c r="M97" s="42" t="s">
        <v>511</v>
      </c>
      <c r="N97" s="34" t="n">
        <f aca="false">81/1.2*1.05</f>
        <v>70.88</v>
      </c>
      <c r="O97" s="34" t="n">
        <f aca="false">E97*N97</f>
        <v>18783.2</v>
      </c>
      <c r="P97" s="35" t="n">
        <f aca="false">AVERAGE(H97,K97,N97)</f>
        <v>72.86</v>
      </c>
      <c r="Q97" s="36" t="n">
        <f aca="false">F97*100/P97-100</f>
        <v>0</v>
      </c>
      <c r="R97" s="35" t="n">
        <f aca="false">P97*E97</f>
        <v>19307.9</v>
      </c>
      <c r="S97" s="37"/>
      <c r="U97" s="39" t="n">
        <f aca="false">ROUND(H97*100/P97-100,0)</f>
        <v>7</v>
      </c>
      <c r="V97" s="39" t="n">
        <f aca="false">ROUND(K97*100/P97-100,0)</f>
        <v>-4</v>
      </c>
      <c r="W97" s="39" t="n">
        <f aca="false">ROUND(N97*100/P97-100,0)</f>
        <v>-3</v>
      </c>
      <c r="X97" s="85" t="n">
        <f aca="false">P97/1.2</f>
        <v>60.72</v>
      </c>
      <c r="Y97" s="85" t="n">
        <f aca="false">P97*1.2</f>
        <v>87.43</v>
      </c>
      <c r="Z97" s="86" t="n">
        <f aca="false">AND((H97)&gt;=MIN(X97),(H97)&lt;=MAX(Y97))</f>
        <v>1</v>
      </c>
      <c r="AA97" s="86" t="n">
        <f aca="false">AND((K97)&gt;=MIN(X97),(K97)&lt;=MAX(Y97))</f>
        <v>1</v>
      </c>
      <c r="AB97" s="86" t="n">
        <f aca="false">AND((N97)&gt;=MIN(X97),(N97)&lt;=MAX(Y97))</f>
        <v>1</v>
      </c>
      <c r="AC97" s="95"/>
      <c r="AD97" s="88"/>
      <c r="AE97" s="88" t="n">
        <f aca="false">AD97*E97</f>
        <v>0</v>
      </c>
      <c r="AF97" s="95"/>
      <c r="AG97" s="88"/>
      <c r="AH97" s="89" t="n">
        <f aca="false">AG97*E97</f>
        <v>0</v>
      </c>
      <c r="AI97" s="95"/>
      <c r="AJ97" s="88"/>
      <c r="AK97" s="89" t="n">
        <f aca="false">AJ97*E97</f>
        <v>0</v>
      </c>
      <c r="AL97" s="91" t="e">
        <f aca="false">AVERAGE(AD97,AG97,AJ97)</f>
        <v>#DIV/0!</v>
      </c>
      <c r="AM97" s="91" t="e">
        <f aca="false">((F97-AL97)/AL97)*100</f>
        <v>#DIV/0!</v>
      </c>
      <c r="AN97" s="92" t="e">
        <f aca="false">AL97/1.2</f>
        <v>#DIV/0!</v>
      </c>
      <c r="AO97" s="92" t="e">
        <f aca="false">AL97*1.2</f>
        <v>#DIV/0!</v>
      </c>
      <c r="AP97" s="86" t="e">
        <f aca="false">AND((AD97)&gt;=MIN(AN97),(AD97)&lt;=MAX(AO97))</f>
        <v>#DIV/0!</v>
      </c>
      <c r="AQ97" s="86" t="e">
        <f aca="false">AND((AG97)&gt;=MIN(AN97),(AG97)&lt;=MAX(AO97))</f>
        <v>#DIV/0!</v>
      </c>
      <c r="AR97" s="86" t="e">
        <f aca="false">AND((AJ97)&gt;=MIN(AN97),(AJ97)&lt;=MAX(AO97))</f>
        <v>#DIV/0!</v>
      </c>
    </row>
    <row r="98" s="38" customFormat="true" ht="39" hidden="false" customHeight="true" outlineLevel="0" collapsed="false">
      <c r="A98" s="28" t="n">
        <v>88</v>
      </c>
      <c r="B98" s="97" t="s">
        <v>901</v>
      </c>
      <c r="C98" s="60" t="s">
        <v>585</v>
      </c>
      <c r="D98" s="58" t="s">
        <v>143</v>
      </c>
      <c r="E98" s="59" t="n">
        <v>225</v>
      </c>
      <c r="F98" s="32" t="n">
        <f aca="false">P98</f>
        <v>242.67</v>
      </c>
      <c r="G98" s="42" t="s">
        <v>586</v>
      </c>
      <c r="H98" s="34" t="n">
        <f aca="false">269/1.2*1.05</f>
        <v>235.38</v>
      </c>
      <c r="I98" s="34" t="n">
        <f aca="false">E98*H98</f>
        <v>52960.5</v>
      </c>
      <c r="J98" s="42" t="s">
        <v>587</v>
      </c>
      <c r="K98" s="34" t="n">
        <f aca="false">269/1.2*1.05</f>
        <v>235.38</v>
      </c>
      <c r="L98" s="34" t="n">
        <f aca="false">E98*K98</f>
        <v>52960.5</v>
      </c>
      <c r="M98" s="42" t="s">
        <v>588</v>
      </c>
      <c r="N98" s="34" t="n">
        <f aca="false">294/1.2*1.05</f>
        <v>257.25</v>
      </c>
      <c r="O98" s="34" t="n">
        <f aca="false">E98*N98</f>
        <v>57881.25</v>
      </c>
      <c r="P98" s="35" t="n">
        <f aca="false">AVERAGE(H98,K98,N98)</f>
        <v>242.67</v>
      </c>
      <c r="Q98" s="36" t="n">
        <f aca="false">F98*100/P98-100</f>
        <v>0</v>
      </c>
      <c r="R98" s="35" t="n">
        <f aca="false">P98*E98</f>
        <v>54600.75</v>
      </c>
      <c r="S98" s="37"/>
      <c r="U98" s="39" t="n">
        <f aca="false">ROUND(H98*100/P98-100,0)</f>
        <v>-3</v>
      </c>
      <c r="V98" s="39" t="n">
        <f aca="false">ROUND(K98*100/P98-100,0)</f>
        <v>-3</v>
      </c>
      <c r="W98" s="39" t="n">
        <f aca="false">ROUND(N98*100/P98-100,0)</f>
        <v>6</v>
      </c>
      <c r="X98" s="85" t="n">
        <f aca="false">P98/1.2</f>
        <v>202.23</v>
      </c>
      <c r="Y98" s="85" t="n">
        <f aca="false">P98*1.2</f>
        <v>291.2</v>
      </c>
      <c r="Z98" s="86" t="n">
        <f aca="false">AND((H98)&gt;=MIN(X98),(H98)&lt;=MAX(Y98))</f>
        <v>1</v>
      </c>
      <c r="AA98" s="86" t="n">
        <f aca="false">AND((K98)&gt;=MIN(X98),(K98)&lt;=MAX(Y98))</f>
        <v>1</v>
      </c>
      <c r="AB98" s="86" t="n">
        <f aca="false">AND((N98)&gt;=MIN(X98),(N98)&lt;=MAX(Y98))</f>
        <v>1</v>
      </c>
      <c r="AC98" s="95"/>
      <c r="AD98" s="88"/>
      <c r="AE98" s="88" t="n">
        <f aca="false">AD98*E98</f>
        <v>0</v>
      </c>
      <c r="AF98" s="95"/>
      <c r="AG98" s="88"/>
      <c r="AH98" s="89" t="n">
        <f aca="false">AG98*E98</f>
        <v>0</v>
      </c>
      <c r="AI98" s="95"/>
      <c r="AJ98" s="88"/>
      <c r="AK98" s="89" t="n">
        <f aca="false">AJ98*E98</f>
        <v>0</v>
      </c>
      <c r="AL98" s="91" t="e">
        <f aca="false">AVERAGE(AD98,AG98,AJ98)</f>
        <v>#DIV/0!</v>
      </c>
      <c r="AM98" s="91" t="e">
        <f aca="false">((F98-AL98)/AL98)*100</f>
        <v>#DIV/0!</v>
      </c>
      <c r="AN98" s="92" t="e">
        <f aca="false">AL98/1.2</f>
        <v>#DIV/0!</v>
      </c>
      <c r="AO98" s="92" t="e">
        <f aca="false">AL98*1.2</f>
        <v>#DIV/0!</v>
      </c>
      <c r="AP98" s="86" t="e">
        <f aca="false">AND((AD98)&gt;=MIN(AN98),(AD98)&lt;=MAX(AO98))</f>
        <v>#DIV/0!</v>
      </c>
      <c r="AQ98" s="86" t="e">
        <f aca="false">AND((AG98)&gt;=MIN(AN98),(AG98)&lt;=MAX(AO98))</f>
        <v>#DIV/0!</v>
      </c>
      <c r="AR98" s="86" t="e">
        <f aca="false">AND((AJ98)&gt;=MIN(AN98),(AJ98)&lt;=MAX(AO98))</f>
        <v>#DIV/0!</v>
      </c>
    </row>
    <row r="99" s="38" customFormat="true" ht="63.75" hidden="false" customHeight="true" outlineLevel="0" collapsed="false">
      <c r="A99" s="28" t="n">
        <v>89</v>
      </c>
      <c r="B99" s="105" t="s">
        <v>902</v>
      </c>
      <c r="C99" s="62" t="s">
        <v>601</v>
      </c>
      <c r="D99" s="58" t="s">
        <v>27</v>
      </c>
      <c r="E99" s="59" t="n">
        <v>43.2</v>
      </c>
      <c r="F99" s="32" t="n">
        <f aca="false">P99</f>
        <v>317.92</v>
      </c>
      <c r="G99" s="42" t="s">
        <v>602</v>
      </c>
      <c r="H99" s="34" t="n">
        <f aca="false">411/1.2*1.05</f>
        <v>359.63</v>
      </c>
      <c r="I99" s="34" t="n">
        <f aca="false">E99*H99</f>
        <v>15536.02</v>
      </c>
      <c r="J99" s="42" t="s">
        <v>603</v>
      </c>
      <c r="K99" s="34" t="n">
        <f aca="false">316/1.2*1.05</f>
        <v>276.5</v>
      </c>
      <c r="L99" s="34" t="n">
        <f aca="false">E99*K99</f>
        <v>11944.8</v>
      </c>
      <c r="M99" s="42" t="s">
        <v>604</v>
      </c>
      <c r="N99" s="34" t="n">
        <f aca="false">363/1.2*1.05</f>
        <v>317.63</v>
      </c>
      <c r="O99" s="34" t="n">
        <f aca="false">E99*N99</f>
        <v>13721.62</v>
      </c>
      <c r="P99" s="35" t="n">
        <f aca="false">AVERAGE(H99,K99,N99)</f>
        <v>317.92</v>
      </c>
      <c r="Q99" s="36" t="n">
        <f aca="false">F99*100/P99-100</f>
        <v>0</v>
      </c>
      <c r="R99" s="35" t="n">
        <f aca="false">P99*E99</f>
        <v>13734.14</v>
      </c>
      <c r="S99" s="37"/>
      <c r="U99" s="39" t="n">
        <f aca="false">ROUND(H99*100/P99-100,0)</f>
        <v>13</v>
      </c>
      <c r="V99" s="39" t="n">
        <f aca="false">ROUND(K99*100/P99-100,0)</f>
        <v>-13</v>
      </c>
      <c r="W99" s="39" t="n">
        <f aca="false">ROUND(N99*100/P99-100,0)</f>
        <v>-0</v>
      </c>
      <c r="X99" s="85" t="n">
        <f aca="false">P99/1.2</f>
        <v>264.93</v>
      </c>
      <c r="Y99" s="85" t="n">
        <f aca="false">P99*1.2</f>
        <v>381.5</v>
      </c>
      <c r="Z99" s="86" t="n">
        <f aca="false">AND((H99)&gt;=MIN(X99),(H99)&lt;=MAX(Y99))</f>
        <v>1</v>
      </c>
      <c r="AA99" s="86" t="n">
        <f aca="false">AND((K99)&gt;=MIN(X99),(K99)&lt;=MAX(Y99))</f>
        <v>1</v>
      </c>
      <c r="AB99" s="86" t="n">
        <f aca="false">AND((N99)&gt;=MIN(X99),(N99)&lt;=MAX(Y99))</f>
        <v>1</v>
      </c>
      <c r="AC99" s="95"/>
      <c r="AD99" s="88"/>
      <c r="AE99" s="88" t="n">
        <f aca="false">AD99*E99</f>
        <v>0</v>
      </c>
      <c r="AF99" s="95"/>
      <c r="AG99" s="88"/>
      <c r="AH99" s="89" t="n">
        <f aca="false">AG99*E99</f>
        <v>0</v>
      </c>
      <c r="AI99" s="95"/>
      <c r="AJ99" s="88"/>
      <c r="AK99" s="89" t="n">
        <f aca="false">AJ99*E99</f>
        <v>0</v>
      </c>
      <c r="AL99" s="91" t="e">
        <f aca="false">AVERAGE(AD99,AG99,AJ99)</f>
        <v>#DIV/0!</v>
      </c>
      <c r="AM99" s="91" t="e">
        <f aca="false">((F99-AL99)/AL99)*100</f>
        <v>#DIV/0!</v>
      </c>
      <c r="AN99" s="92" t="e">
        <f aca="false">AL99/1.2</f>
        <v>#DIV/0!</v>
      </c>
      <c r="AO99" s="92" t="e">
        <f aca="false">AL99*1.2</f>
        <v>#DIV/0!</v>
      </c>
      <c r="AP99" s="86" t="e">
        <f aca="false">AND((AD99)&gt;=MIN(AN99),(AD99)&lt;=MAX(AO99))</f>
        <v>#DIV/0!</v>
      </c>
      <c r="AQ99" s="86" t="e">
        <f aca="false">AND((AG99)&gt;=MIN(AN99),(AG99)&lt;=MAX(AO99))</f>
        <v>#DIV/0!</v>
      </c>
      <c r="AR99" s="86" t="e">
        <f aca="false">AND((AJ99)&gt;=MIN(AN99),(AJ99)&lt;=MAX(AO99))</f>
        <v>#DIV/0!</v>
      </c>
    </row>
    <row r="100" s="38" customFormat="true" ht="51" hidden="false" customHeight="true" outlineLevel="0" collapsed="false">
      <c r="A100" s="28" t="n">
        <v>90</v>
      </c>
      <c r="B100" s="99"/>
      <c r="C100" s="63" t="s">
        <v>630</v>
      </c>
      <c r="D100" s="64" t="s">
        <v>27</v>
      </c>
      <c r="E100" s="65" t="n">
        <v>10</v>
      </c>
      <c r="F100" s="32" t="n">
        <f aca="false">P100</f>
        <v>831.76</v>
      </c>
      <c r="G100" s="42" t="s">
        <v>631</v>
      </c>
      <c r="H100" s="34" t="n">
        <f aca="false">387/400*1000/1.2*1.05</f>
        <v>846.56</v>
      </c>
      <c r="I100" s="34" t="n">
        <f aca="false">E100*H100</f>
        <v>8465.6</v>
      </c>
      <c r="J100" s="42" t="s">
        <v>632</v>
      </c>
      <c r="K100" s="34" t="n">
        <f aca="false">377.7/400*1000/1.2*1.05</f>
        <v>826.22</v>
      </c>
      <c r="L100" s="34" t="n">
        <f aca="false">E100*K100</f>
        <v>8262.2</v>
      </c>
      <c r="M100" s="42" t="s">
        <v>633</v>
      </c>
      <c r="N100" s="34" t="n">
        <f aca="false">376/400*1000/1.2*1.05</f>
        <v>822.5</v>
      </c>
      <c r="O100" s="34" t="n">
        <f aca="false">E100*N100</f>
        <v>8225</v>
      </c>
      <c r="P100" s="35" t="n">
        <f aca="false">AVERAGE(H100,K100,N100)</f>
        <v>831.76</v>
      </c>
      <c r="Q100" s="36" t="n">
        <f aca="false">F100*100/P100-100</f>
        <v>0</v>
      </c>
      <c r="R100" s="35" t="n">
        <f aca="false">P100*E100</f>
        <v>8317.6</v>
      </c>
      <c r="S100" s="37"/>
      <c r="U100" s="39" t="n">
        <f aca="false">ROUND(H100*100/P100-100,0)</f>
        <v>2</v>
      </c>
      <c r="V100" s="39" t="n">
        <f aca="false">ROUND(K100*100/P100-100,0)</f>
        <v>-1</v>
      </c>
      <c r="W100" s="39" t="n">
        <f aca="false">ROUND(N100*100/P100-100,0)</f>
        <v>-1</v>
      </c>
      <c r="X100" s="85" t="n">
        <f aca="false">P100/1.2</f>
        <v>693.13</v>
      </c>
      <c r="Y100" s="85" t="n">
        <f aca="false">P100*1.2</f>
        <v>998.11</v>
      </c>
      <c r="Z100" s="86" t="n">
        <f aca="false">AND((H100)&gt;=MIN(X100),(H100)&lt;=MAX(Y100))</f>
        <v>1</v>
      </c>
      <c r="AA100" s="86" t="n">
        <f aca="false">AND((K100)&gt;=MIN(X100),(K100)&lt;=MAX(Y100))</f>
        <v>1</v>
      </c>
      <c r="AB100" s="86" t="n">
        <f aca="false">AND((N100)&gt;=MIN(X100),(N100)&lt;=MAX(Y100))</f>
        <v>1</v>
      </c>
      <c r="AC100" s="95" t="s">
        <v>903</v>
      </c>
      <c r="AD100" s="88" t="n">
        <f aca="false">415/400*1000/1.2*1.05</f>
        <v>907.81</v>
      </c>
      <c r="AE100" s="88" t="n">
        <f aca="false">AD100*E100</f>
        <v>9078.1</v>
      </c>
      <c r="AF100" s="95" t="s">
        <v>904</v>
      </c>
      <c r="AG100" s="88" t="n">
        <f aca="false">454/400*1000/1.2*1.05</f>
        <v>993.13</v>
      </c>
      <c r="AH100" s="89" t="n">
        <f aca="false">AG100*E100</f>
        <v>9931.3</v>
      </c>
      <c r="AI100" s="95" t="s">
        <v>905</v>
      </c>
      <c r="AJ100" s="88" t="n">
        <f aca="false">394/400*1000/1.2*1.05</f>
        <v>861.88</v>
      </c>
      <c r="AK100" s="89" t="n">
        <f aca="false">AJ100*E100</f>
        <v>8618.8</v>
      </c>
      <c r="AL100" s="91" t="n">
        <f aca="false">AVERAGE(AD100,AG100,AJ100)</f>
        <v>920.94</v>
      </c>
      <c r="AM100" s="91" t="n">
        <f aca="false">((F100-AL100)/AL100)*100</f>
        <v>-9.68</v>
      </c>
      <c r="AN100" s="92" t="n">
        <f aca="false">AL100/1.2</f>
        <v>767.45</v>
      </c>
      <c r="AO100" s="92" t="n">
        <f aca="false">AL100*1.2</f>
        <v>1105.13</v>
      </c>
      <c r="AP100" s="86" t="n">
        <f aca="false">AND((AD100)&gt;=MIN(AN100),(AD100)&lt;=MAX(AO100))</f>
        <v>1</v>
      </c>
      <c r="AQ100" s="86" t="n">
        <f aca="false">AND((AG100)&gt;=MIN(AN100),(AG100)&lt;=MAX(AO100))</f>
        <v>1</v>
      </c>
      <c r="AR100" s="86" t="n">
        <f aca="false">AND((AJ100)&gt;=MIN(AN100),(AJ100)&lt;=MAX(AO100))</f>
        <v>1</v>
      </c>
    </row>
    <row r="101" s="38" customFormat="true" ht="37.5" hidden="false" customHeight="true" outlineLevel="0" collapsed="false">
      <c r="A101" s="28" t="n">
        <v>91</v>
      </c>
      <c r="B101" s="84" t="s">
        <v>906</v>
      </c>
      <c r="C101" s="63" t="s">
        <v>634</v>
      </c>
      <c r="D101" s="64" t="s">
        <v>27</v>
      </c>
      <c r="E101" s="65" t="n">
        <v>500</v>
      </c>
      <c r="F101" s="32" t="n">
        <f aca="false">P101</f>
        <v>100.36</v>
      </c>
      <c r="G101" s="42" t="s">
        <v>635</v>
      </c>
      <c r="H101" s="34" t="n">
        <f aca="false">2825/25/1.2*1.05</f>
        <v>98.88</v>
      </c>
      <c r="I101" s="34" t="n">
        <f aca="false">E101*H101</f>
        <v>49440</v>
      </c>
      <c r="J101" s="42" t="s">
        <v>636</v>
      </c>
      <c r="K101" s="34" t="n">
        <f aca="false">2547/25/1.2*1.05</f>
        <v>89.15</v>
      </c>
      <c r="L101" s="34" t="n">
        <f aca="false">E101*K101</f>
        <v>44575</v>
      </c>
      <c r="M101" s="42" t="s">
        <v>637</v>
      </c>
      <c r="N101" s="34" t="n">
        <f aca="false">3230/25/1.2*1.05</f>
        <v>113.05</v>
      </c>
      <c r="O101" s="34" t="n">
        <f aca="false">E101*N101</f>
        <v>56525</v>
      </c>
      <c r="P101" s="35" t="n">
        <f aca="false">AVERAGE(H101,K101,N101)</f>
        <v>100.36</v>
      </c>
      <c r="Q101" s="36" t="n">
        <f aca="false">F101*100/P101-100</f>
        <v>0</v>
      </c>
      <c r="R101" s="35" t="n">
        <f aca="false">P101*E101</f>
        <v>50180</v>
      </c>
      <c r="S101" s="37"/>
      <c r="U101" s="39" t="n">
        <f aca="false">ROUND(H101*100/P101-100,0)</f>
        <v>-1</v>
      </c>
      <c r="V101" s="39" t="n">
        <f aca="false">ROUND(K101*100/P101-100,0)</f>
        <v>-11</v>
      </c>
      <c r="W101" s="39" t="n">
        <f aca="false">ROUND(N101*100/P101-100,0)</f>
        <v>13</v>
      </c>
      <c r="X101" s="85" t="n">
        <f aca="false">P101/1.2</f>
        <v>83.63</v>
      </c>
      <c r="Y101" s="85" t="n">
        <f aca="false">P101*1.2</f>
        <v>120.43</v>
      </c>
      <c r="Z101" s="86" t="n">
        <f aca="false">AND((H101)&gt;=MIN(X101),(H101)&lt;=MAX(Y101))</f>
        <v>1</v>
      </c>
      <c r="AA101" s="86" t="n">
        <f aca="false">AND((K101)&gt;=MIN(X101),(K101)&lt;=MAX(Y101))</f>
        <v>1</v>
      </c>
      <c r="AB101" s="86" t="n">
        <f aca="false">AND((N101)&gt;=MIN(X101),(N101)&lt;=MAX(Y101))</f>
        <v>1</v>
      </c>
      <c r="AC101" s="95" t="s">
        <v>907</v>
      </c>
      <c r="AD101" s="88" t="n">
        <f aca="false">2150/25/1.2*1.05</f>
        <v>75.25</v>
      </c>
      <c r="AE101" s="88" t="n">
        <f aca="false">AD101*E101</f>
        <v>37625</v>
      </c>
      <c r="AF101" s="95" t="s">
        <v>908</v>
      </c>
      <c r="AG101" s="88" t="n">
        <f aca="false">2313/1.2/25*1.05</f>
        <v>80.96</v>
      </c>
      <c r="AH101" s="89" t="n">
        <f aca="false">AG101*E101</f>
        <v>40480</v>
      </c>
      <c r="AI101" s="95" t="s">
        <v>909</v>
      </c>
      <c r="AJ101" s="88" t="n">
        <f aca="false">2150/1.2/25*1.05</f>
        <v>75.25</v>
      </c>
      <c r="AK101" s="89" t="n">
        <f aca="false">AJ101*E101</f>
        <v>37625</v>
      </c>
      <c r="AL101" s="91" t="n">
        <f aca="false">AVERAGE(AD101,AG101,AJ101)</f>
        <v>77.15</v>
      </c>
      <c r="AM101" s="91" t="n">
        <f aca="false">((F101-AL101)/AL101)*100</f>
        <v>30.08</v>
      </c>
      <c r="AN101" s="92" t="n">
        <f aca="false">AL101/1.2</f>
        <v>64.29</v>
      </c>
      <c r="AO101" s="92" t="n">
        <f aca="false">AL101*1.2</f>
        <v>92.58</v>
      </c>
      <c r="AP101" s="86" t="n">
        <f aca="false">AND((AD101)&gt;=MIN(AN101),(AD101)&lt;=MAX(AO101))</f>
        <v>1</v>
      </c>
      <c r="AQ101" s="86" t="n">
        <f aca="false">AND((AG101)&gt;=MIN(AN101),(AG101)&lt;=MAX(AO101))</f>
        <v>1</v>
      </c>
      <c r="AR101" s="86" t="n">
        <f aca="false">AND((AJ101)&gt;=MIN(AN101),(AJ101)&lt;=MAX(AO101))</f>
        <v>1</v>
      </c>
    </row>
    <row r="102" s="38" customFormat="true" ht="37.5" hidden="false" customHeight="true" outlineLevel="0" collapsed="false">
      <c r="A102" s="28" t="n">
        <v>92</v>
      </c>
      <c r="B102" s="84" t="s">
        <v>910</v>
      </c>
      <c r="C102" s="63" t="s">
        <v>638</v>
      </c>
      <c r="D102" s="64" t="s">
        <v>64</v>
      </c>
      <c r="E102" s="65" t="n">
        <v>0.08</v>
      </c>
      <c r="F102" s="32" t="n">
        <f aca="false">P102</f>
        <v>2534.38</v>
      </c>
      <c r="G102" s="42" t="s">
        <v>639</v>
      </c>
      <c r="H102" s="34" t="n">
        <f aca="false">810/280*1000/1.2*1.05</f>
        <v>2531.25</v>
      </c>
      <c r="I102" s="34" t="n">
        <f aca="false">E102*H102</f>
        <v>202.5</v>
      </c>
      <c r="J102" s="42" t="s">
        <v>640</v>
      </c>
      <c r="K102" s="34" t="n">
        <f aca="false">803/280*1000/1.2*1.05</f>
        <v>2509.38</v>
      </c>
      <c r="L102" s="34" t="n">
        <f aca="false">E102*K102</f>
        <v>200.75</v>
      </c>
      <c r="M102" s="66" t="s">
        <v>641</v>
      </c>
      <c r="N102" s="34" t="n">
        <f aca="false">820/280*1000/1.2*1.05</f>
        <v>2562.5</v>
      </c>
      <c r="O102" s="34" t="n">
        <f aca="false">E102*N102</f>
        <v>205</v>
      </c>
      <c r="P102" s="35" t="n">
        <f aca="false">AVERAGE(H102,K102,N102)</f>
        <v>2534.38</v>
      </c>
      <c r="Q102" s="36" t="n">
        <f aca="false">F102*100/P102-100</f>
        <v>0</v>
      </c>
      <c r="R102" s="35" t="n">
        <f aca="false">P102*E102</f>
        <v>202.75</v>
      </c>
      <c r="S102" s="37"/>
      <c r="U102" s="39" t="n">
        <f aca="false">ROUND(H102*100/P102-100,0)</f>
        <v>-0</v>
      </c>
      <c r="V102" s="39" t="n">
        <f aca="false">ROUND(K102*100/P102-100,0)</f>
        <v>-1</v>
      </c>
      <c r="W102" s="39" t="n">
        <f aca="false">ROUND(N102*100/P102-100,0)</f>
        <v>1</v>
      </c>
      <c r="X102" s="85" t="n">
        <f aca="false">P102/1.2</f>
        <v>2111.98</v>
      </c>
      <c r="Y102" s="85" t="n">
        <f aca="false">P102*1.2</f>
        <v>3041.26</v>
      </c>
      <c r="Z102" s="86" t="n">
        <f aca="false">AND((H102)&gt;=MIN(X102),(H102)&lt;=MAX(Y102))</f>
        <v>1</v>
      </c>
      <c r="AA102" s="86" t="n">
        <f aca="false">AND((K102)&gt;=MIN(X102),(K102)&lt;=MAX(Y102))</f>
        <v>1</v>
      </c>
      <c r="AB102" s="86" t="n">
        <f aca="false">AND((N102)&gt;=MIN(X102),(N102)&lt;=MAX(Y102))</f>
        <v>1</v>
      </c>
      <c r="AC102" s="95" t="s">
        <v>911</v>
      </c>
      <c r="AD102" s="88" t="n">
        <f aca="false">775/0.28/1.2*1.05</f>
        <v>2421.88</v>
      </c>
      <c r="AE102" s="88" t="n">
        <f aca="false">AD102*E102</f>
        <v>193.75</v>
      </c>
      <c r="AF102" s="95" t="s">
        <v>912</v>
      </c>
      <c r="AG102" s="88" t="n">
        <f aca="false">785/0.28/1.2*1.05</f>
        <v>2453.13</v>
      </c>
      <c r="AH102" s="89" t="n">
        <f aca="false">AG102*E102</f>
        <v>196.25</v>
      </c>
      <c r="AI102" s="95" t="s">
        <v>913</v>
      </c>
      <c r="AJ102" s="88" t="n">
        <f aca="false">701/0.28/1.2*1.05</f>
        <v>2190.63</v>
      </c>
      <c r="AK102" s="89" t="n">
        <f aca="false">AJ102*E102</f>
        <v>175.25</v>
      </c>
      <c r="AL102" s="91" t="n">
        <f aca="false">AVERAGE(AD102,AG102,AJ102)</f>
        <v>2355.21</v>
      </c>
      <c r="AM102" s="91" t="n">
        <f aca="false">((F102-AL102)/AL102)*100</f>
        <v>7.61</v>
      </c>
      <c r="AN102" s="92" t="n">
        <f aca="false">AL102/1.2</f>
        <v>1962.68</v>
      </c>
      <c r="AO102" s="92" t="n">
        <f aca="false">AL102*1.2</f>
        <v>2826.25</v>
      </c>
      <c r="AP102" s="86" t="n">
        <f aca="false">AND((AD102)&gt;=MIN(AN102),(AD102)&lt;=MAX(AO102))</f>
        <v>1</v>
      </c>
      <c r="AQ102" s="86" t="n">
        <f aca="false">AND((AG102)&gt;=MIN(AN102),(AG102)&lt;=MAX(AO102))</f>
        <v>1</v>
      </c>
      <c r="AR102" s="86" t="n">
        <f aca="false">AND((AJ102)&gt;=MIN(AN102),(AJ102)&lt;=MAX(AO102))</f>
        <v>1</v>
      </c>
    </row>
    <row r="103" s="38" customFormat="true" ht="37.5" hidden="false" customHeight="true" outlineLevel="0" collapsed="false">
      <c r="A103" s="28" t="n">
        <v>93</v>
      </c>
      <c r="B103" s="99"/>
      <c r="C103" s="63" t="s">
        <v>642</v>
      </c>
      <c r="D103" s="64" t="s">
        <v>27</v>
      </c>
      <c r="E103" s="65" t="n">
        <v>3330</v>
      </c>
      <c r="F103" s="32" t="n">
        <f aca="false">P103</f>
        <v>53.08</v>
      </c>
      <c r="G103" s="42" t="s">
        <v>643</v>
      </c>
      <c r="H103" s="34" t="n">
        <f aca="false">1500/25/1.2*1.05</f>
        <v>52.5</v>
      </c>
      <c r="I103" s="34" t="n">
        <f aca="false">E103*H103</f>
        <v>174825</v>
      </c>
      <c r="J103" s="42" t="s">
        <v>644</v>
      </c>
      <c r="K103" s="34" t="n">
        <f aca="false">1530/25/1.2*1.05</f>
        <v>53.55</v>
      </c>
      <c r="L103" s="34" t="n">
        <f aca="false">E103*K103</f>
        <v>178321.5</v>
      </c>
      <c r="M103" s="42" t="s">
        <v>645</v>
      </c>
      <c r="N103" s="34" t="n">
        <f aca="false">1520/25/1.2*1.05</f>
        <v>53.2</v>
      </c>
      <c r="O103" s="34" t="n">
        <f aca="false">E103*N103</f>
        <v>177156</v>
      </c>
      <c r="P103" s="35" t="n">
        <f aca="false">AVERAGE(H103,K103,N103)</f>
        <v>53.08</v>
      </c>
      <c r="Q103" s="36" t="n">
        <f aca="false">F103*100/P103-100</f>
        <v>0</v>
      </c>
      <c r="R103" s="35" t="n">
        <f aca="false">P103*E103</f>
        <v>176756.4</v>
      </c>
      <c r="S103" s="37"/>
      <c r="U103" s="39" t="n">
        <f aca="false">ROUND(H103*100/P103-100,0)</f>
        <v>-1</v>
      </c>
      <c r="V103" s="39" t="n">
        <f aca="false">ROUND(K103*100/P103-100,0)</f>
        <v>1</v>
      </c>
      <c r="W103" s="39" t="n">
        <f aca="false">ROUND(N103*100/P103-100,0)</f>
        <v>0</v>
      </c>
      <c r="X103" s="85" t="n">
        <f aca="false">P103/1.2</f>
        <v>44.23</v>
      </c>
      <c r="Y103" s="85" t="n">
        <f aca="false">P103*1.2</f>
        <v>63.7</v>
      </c>
      <c r="Z103" s="86" t="n">
        <f aca="false">AND((H103)&gt;=MIN(X103),(H103)&lt;=MAX(Y103))</f>
        <v>1</v>
      </c>
      <c r="AA103" s="86" t="n">
        <f aca="false">AND((K103)&gt;=MIN(X103),(K103)&lt;=MAX(Y103))</f>
        <v>1</v>
      </c>
      <c r="AB103" s="86" t="n">
        <f aca="false">AND((N103)&gt;=MIN(X103),(N103)&lt;=MAX(Y103))</f>
        <v>1</v>
      </c>
      <c r="AC103" s="95" t="s">
        <v>914</v>
      </c>
      <c r="AD103" s="88" t="n">
        <f aca="false">1774/25/1.2*1.05</f>
        <v>62.09</v>
      </c>
      <c r="AE103" s="88" t="n">
        <f aca="false">AD103*E103</f>
        <v>206759.7</v>
      </c>
      <c r="AF103" s="95" t="s">
        <v>915</v>
      </c>
      <c r="AG103" s="88" t="n">
        <f aca="false">1406/25/1.2*1.05</f>
        <v>49.21</v>
      </c>
      <c r="AH103" s="89" t="n">
        <f aca="false">AG103*E103</f>
        <v>163869.3</v>
      </c>
      <c r="AI103" s="95" t="s">
        <v>916</v>
      </c>
      <c r="AJ103" s="88" t="n">
        <f aca="false">1530/1.2/25*1.05</f>
        <v>53.55</v>
      </c>
      <c r="AK103" s="89" t="n">
        <f aca="false">AJ103*E103</f>
        <v>178321.5</v>
      </c>
      <c r="AL103" s="91" t="n">
        <f aca="false">AVERAGE(AD103,AG103,AJ103)</f>
        <v>54.95</v>
      </c>
      <c r="AM103" s="91" t="n">
        <f aca="false">((F103-AL103)/AL103)*100</f>
        <v>-3.4</v>
      </c>
      <c r="AN103" s="92" t="n">
        <f aca="false">AL103/1.2</f>
        <v>45.79</v>
      </c>
      <c r="AO103" s="92" t="n">
        <f aca="false">AL103*1.2</f>
        <v>65.94</v>
      </c>
      <c r="AP103" s="86" t="n">
        <f aca="false">AND((AD103)&gt;=MIN(AN103),(AD103)&lt;=MAX(AO103))</f>
        <v>1</v>
      </c>
      <c r="AQ103" s="86" t="n">
        <f aca="false">AND((AG103)&gt;=MIN(AN103),(AG103)&lt;=MAX(AO103))</f>
        <v>1</v>
      </c>
      <c r="AR103" s="86" t="n">
        <f aca="false">AND((AJ103)&gt;=MIN(AN103),(AJ103)&lt;=MAX(AO103))</f>
        <v>1</v>
      </c>
    </row>
    <row r="104" s="38" customFormat="true" ht="37.5" hidden="false" customHeight="true" outlineLevel="0" collapsed="false">
      <c r="A104" s="28" t="n">
        <v>94</v>
      </c>
      <c r="B104" s="84" t="s">
        <v>917</v>
      </c>
      <c r="C104" s="63" t="s">
        <v>646</v>
      </c>
      <c r="D104" s="64" t="s">
        <v>27</v>
      </c>
      <c r="E104" s="65" t="n">
        <v>3330</v>
      </c>
      <c r="F104" s="32" t="n">
        <f aca="false">P104</f>
        <v>34.98</v>
      </c>
      <c r="G104" s="66" t="s">
        <v>647</v>
      </c>
      <c r="H104" s="34" t="n">
        <f aca="false">999/25/1.2*1.05</f>
        <v>34.97</v>
      </c>
      <c r="I104" s="34" t="n">
        <f aca="false">E104*H104</f>
        <v>116450.1</v>
      </c>
      <c r="J104" s="42" t="s">
        <v>648</v>
      </c>
      <c r="K104" s="34" t="n">
        <f aca="false">999/25/1.2*1.05</f>
        <v>34.97</v>
      </c>
      <c r="L104" s="34" t="n">
        <f aca="false">E104*K104</f>
        <v>116450.1</v>
      </c>
      <c r="M104" s="42" t="s">
        <v>647</v>
      </c>
      <c r="N104" s="34" t="n">
        <f aca="false">999.8/25/1.2*1.05</f>
        <v>34.99</v>
      </c>
      <c r="O104" s="34" t="n">
        <f aca="false">E104*N104</f>
        <v>116516.7</v>
      </c>
      <c r="P104" s="35" t="n">
        <f aca="false">AVERAGE(H104,K104,N104)</f>
        <v>34.98</v>
      </c>
      <c r="Q104" s="36" t="n">
        <f aca="false">F104*100/P104-100</f>
        <v>0</v>
      </c>
      <c r="R104" s="35" t="n">
        <f aca="false">P104*E104</f>
        <v>116483.4</v>
      </c>
      <c r="S104" s="37"/>
      <c r="U104" s="39" t="n">
        <f aca="false">ROUND(H104*100/P104-100,0)</f>
        <v>-0</v>
      </c>
      <c r="V104" s="39" t="n">
        <f aca="false">ROUND(K104*100/P104-100,0)</f>
        <v>-0</v>
      </c>
      <c r="W104" s="39" t="n">
        <f aca="false">ROUND(N104*100/P104-100,0)</f>
        <v>0</v>
      </c>
      <c r="X104" s="85" t="n">
        <f aca="false">P104/1.2</f>
        <v>29.15</v>
      </c>
      <c r="Y104" s="85" t="n">
        <f aca="false">P104*1.2</f>
        <v>41.98</v>
      </c>
      <c r="Z104" s="86" t="n">
        <f aca="false">AND((H104)&gt;=MIN(X104),(H104)&lt;=MAX(Y104))</f>
        <v>1</v>
      </c>
      <c r="AA104" s="86" t="n">
        <f aca="false">AND((K104)&gt;=MIN(X104),(K104)&lt;=MAX(Y104))</f>
        <v>1</v>
      </c>
      <c r="AB104" s="86" t="n">
        <f aca="false">AND((N104)&gt;=MIN(X104),(N104)&lt;=MAX(Y104))</f>
        <v>1</v>
      </c>
      <c r="AC104" s="95" t="s">
        <v>918</v>
      </c>
      <c r="AD104" s="88" t="n">
        <f aca="false">44.8/1.2*1.05</f>
        <v>39.2</v>
      </c>
      <c r="AE104" s="88" t="n">
        <f aca="false">AD104*E104</f>
        <v>130536</v>
      </c>
      <c r="AF104" s="95" t="s">
        <v>919</v>
      </c>
      <c r="AG104" s="88" t="n">
        <f aca="false">1134/25/1.2*1.05</f>
        <v>39.69</v>
      </c>
      <c r="AH104" s="89" t="n">
        <f aca="false">AG104*E104</f>
        <v>132167.7</v>
      </c>
      <c r="AI104" s="95" t="s">
        <v>643</v>
      </c>
      <c r="AJ104" s="88" t="n">
        <f aca="false">999/25/1.2*1.05</f>
        <v>34.97</v>
      </c>
      <c r="AK104" s="89" t="n">
        <f aca="false">AJ104*E104</f>
        <v>116450.1</v>
      </c>
      <c r="AL104" s="91" t="n">
        <f aca="false">AVERAGE(AD104,AG104,AJ104)</f>
        <v>37.95</v>
      </c>
      <c r="AM104" s="91" t="n">
        <f aca="false">((F104-AL104)/AL104)*100</f>
        <v>-7.83</v>
      </c>
      <c r="AN104" s="92" t="n">
        <f aca="false">AL104/1.2</f>
        <v>31.63</v>
      </c>
      <c r="AO104" s="92" t="n">
        <f aca="false">AL104*1.2</f>
        <v>45.54</v>
      </c>
      <c r="AP104" s="86" t="n">
        <f aca="false">AND((AD104)&gt;=MIN(AN104),(AD104)&lt;=MAX(AO104))</f>
        <v>1</v>
      </c>
      <c r="AQ104" s="86" t="n">
        <f aca="false">AND((AG104)&gt;=MIN(AN104),(AG104)&lt;=MAX(AO104))</f>
        <v>1</v>
      </c>
      <c r="AR104" s="86" t="n">
        <f aca="false">AND((AJ104)&gt;=MIN(AN104),(AJ104)&lt;=MAX(AO104))</f>
        <v>1</v>
      </c>
    </row>
    <row r="105" s="38" customFormat="true" ht="63" hidden="false" customHeight="true" outlineLevel="0" collapsed="false">
      <c r="A105" s="28" t="n">
        <v>95</v>
      </c>
      <c r="B105" s="84" t="s">
        <v>920</v>
      </c>
      <c r="C105" s="63" t="s">
        <v>649</v>
      </c>
      <c r="D105" s="64" t="s">
        <v>27</v>
      </c>
      <c r="E105" s="65" t="n">
        <v>1797.6</v>
      </c>
      <c r="F105" s="32" t="n">
        <f aca="false">P105</f>
        <v>32.11</v>
      </c>
      <c r="G105" s="66" t="s">
        <v>650</v>
      </c>
      <c r="H105" s="34" t="n">
        <f aca="false">863/25/1.2*1.05</f>
        <v>30.21</v>
      </c>
      <c r="I105" s="34" t="n">
        <f aca="false">E105*H105</f>
        <v>54305.5</v>
      </c>
      <c r="J105" s="66" t="s">
        <v>651</v>
      </c>
      <c r="K105" s="34" t="n">
        <f aca="false">995/25/1.2*1.05</f>
        <v>34.83</v>
      </c>
      <c r="L105" s="34" t="n">
        <f aca="false">E105*K105</f>
        <v>62610.41</v>
      </c>
      <c r="M105" s="66" t="s">
        <v>652</v>
      </c>
      <c r="N105" s="34" t="n">
        <f aca="false">894/25/1.2*1.05</f>
        <v>31.29</v>
      </c>
      <c r="O105" s="34" t="n">
        <f aca="false">E105*N105</f>
        <v>56246.9</v>
      </c>
      <c r="P105" s="35" t="n">
        <f aca="false">AVERAGE(H105,K105,N105)</f>
        <v>32.11</v>
      </c>
      <c r="Q105" s="36" t="n">
        <f aca="false">F105*100/P105-100</f>
        <v>0</v>
      </c>
      <c r="R105" s="35" t="n">
        <f aca="false">P105*E105</f>
        <v>57720.94</v>
      </c>
      <c r="S105" s="37"/>
      <c r="U105" s="39" t="n">
        <f aca="false">ROUND(H105*100/P105-100,0)</f>
        <v>-6</v>
      </c>
      <c r="V105" s="39" t="n">
        <f aca="false">ROUND(K105*100/P105-100,0)</f>
        <v>8</v>
      </c>
      <c r="W105" s="39" t="n">
        <f aca="false">ROUND(N105*100/P105-100,0)</f>
        <v>-3</v>
      </c>
      <c r="X105" s="85" t="n">
        <f aca="false">P105/1.2</f>
        <v>26.76</v>
      </c>
      <c r="Y105" s="85" t="n">
        <f aca="false">P105*1.2</f>
        <v>38.53</v>
      </c>
      <c r="Z105" s="86" t="n">
        <f aca="false">AND((H105)&gt;=MIN(X105),(H105)&lt;=MAX(Y105))</f>
        <v>1</v>
      </c>
      <c r="AA105" s="86" t="n">
        <f aca="false">AND((K105)&gt;=MIN(X105),(K105)&lt;=MAX(Y105))</f>
        <v>1</v>
      </c>
      <c r="AB105" s="86" t="n">
        <f aca="false">AND((N105)&gt;=MIN(X105),(N105)&lt;=MAX(Y105))</f>
        <v>1</v>
      </c>
      <c r="AC105" s="95" t="s">
        <v>921</v>
      </c>
      <c r="AD105" s="88" t="n">
        <f aca="false">30.2/1.2*1.05</f>
        <v>26.43</v>
      </c>
      <c r="AE105" s="88" t="n">
        <f aca="false">AD105*E105</f>
        <v>47510.57</v>
      </c>
      <c r="AF105" s="95" t="s">
        <v>922</v>
      </c>
      <c r="AG105" s="88" t="n">
        <f aca="false">844/25/1.2*1.05</f>
        <v>29.54</v>
      </c>
      <c r="AH105" s="89" t="n">
        <f aca="false">AG105*E105</f>
        <v>53101.1</v>
      </c>
      <c r="AI105" s="95" t="s">
        <v>923</v>
      </c>
      <c r="AJ105" s="88" t="n">
        <f aca="false">812/25/1.2*1.05</f>
        <v>28.42</v>
      </c>
      <c r="AK105" s="89" t="n">
        <f aca="false">AJ105*E105</f>
        <v>51087.79</v>
      </c>
      <c r="AL105" s="91" t="n">
        <f aca="false">AVERAGE(AD105,AG105,AJ105)</f>
        <v>28.13</v>
      </c>
      <c r="AM105" s="91" t="n">
        <f aca="false">((F105-AL105)/AL105)*100</f>
        <v>14.15</v>
      </c>
      <c r="AN105" s="92" t="n">
        <f aca="false">AL105/1.2</f>
        <v>23.44</v>
      </c>
      <c r="AO105" s="92" t="n">
        <f aca="false">AL105*1.2</f>
        <v>33.76</v>
      </c>
      <c r="AP105" s="86" t="n">
        <f aca="false">AND((AD105)&gt;=MIN(AN105),(AD105)&lt;=MAX(AO105))</f>
        <v>1</v>
      </c>
      <c r="AQ105" s="86" t="n">
        <f aca="false">AND((AG105)&gt;=MIN(AN105),(AG105)&lt;=MAX(AO105))</f>
        <v>1</v>
      </c>
      <c r="AR105" s="86" t="n">
        <f aca="false">AND((AJ105)&gt;=MIN(AN105),(AJ105)&lt;=MAX(AO105))</f>
        <v>1</v>
      </c>
    </row>
    <row r="106" s="38" customFormat="true" ht="120" hidden="false" customHeight="true" outlineLevel="0" collapsed="false">
      <c r="A106" s="28" t="n">
        <v>96</v>
      </c>
      <c r="B106" s="99"/>
      <c r="C106" s="63" t="s">
        <v>653</v>
      </c>
      <c r="D106" s="64" t="s">
        <v>64</v>
      </c>
      <c r="E106" s="65" t="n">
        <v>37.5</v>
      </c>
      <c r="F106" s="32" t="n">
        <f aca="false">P106</f>
        <v>1029.39</v>
      </c>
      <c r="G106" s="42" t="s">
        <v>654</v>
      </c>
      <c r="H106" s="34" t="n">
        <f aca="false">898/750*1000/1.2*1.05</f>
        <v>1047.67</v>
      </c>
      <c r="I106" s="34" t="n">
        <f aca="false">E106*H106</f>
        <v>39287.63</v>
      </c>
      <c r="J106" s="42" t="s">
        <v>655</v>
      </c>
      <c r="K106" s="34" t="n">
        <f aca="false">899/750*1000/1.2*1.05</f>
        <v>1048.83</v>
      </c>
      <c r="L106" s="34" t="n">
        <f aca="false">E106*K106</f>
        <v>39331.13</v>
      </c>
      <c r="M106" s="42" t="s">
        <v>656</v>
      </c>
      <c r="N106" s="34" t="n">
        <f aca="false">850/750*1000/1.2*1.05</f>
        <v>991.67</v>
      </c>
      <c r="O106" s="34" t="n">
        <f aca="false">E106*N106</f>
        <v>37187.63</v>
      </c>
      <c r="P106" s="35" t="n">
        <f aca="false">AVERAGE(H106,K106,N106)</f>
        <v>1029.39</v>
      </c>
      <c r="Q106" s="36" t="n">
        <f aca="false">F106*100/P106-100</f>
        <v>0</v>
      </c>
      <c r="R106" s="35" t="n">
        <f aca="false">P106*E106</f>
        <v>38602.13</v>
      </c>
      <c r="S106" s="37"/>
      <c r="U106" s="39" t="n">
        <f aca="false">ROUND(H106*100/P106-100,0)</f>
        <v>2</v>
      </c>
      <c r="V106" s="39" t="n">
        <f aca="false">ROUND(K106*100/P106-100,0)</f>
        <v>2</v>
      </c>
      <c r="W106" s="39" t="n">
        <f aca="false">ROUND(N106*100/P106-100,0)</f>
        <v>-4</v>
      </c>
      <c r="X106" s="85" t="n">
        <f aca="false">P106/1.2</f>
        <v>857.83</v>
      </c>
      <c r="Y106" s="85" t="n">
        <f aca="false">P106*1.2</f>
        <v>1235.27</v>
      </c>
      <c r="Z106" s="86" t="n">
        <f aca="false">AND((H106)&gt;=MIN(X106),(H106)&lt;=MAX(Y106))</f>
        <v>1</v>
      </c>
      <c r="AA106" s="86" t="n">
        <f aca="false">AND((K106)&gt;=MIN(X106),(K106)&lt;=MAX(Y106))</f>
        <v>1</v>
      </c>
      <c r="AB106" s="86" t="n">
        <f aca="false">AND((N106)&gt;=MIN(X106),(N106)&lt;=MAX(Y106))</f>
        <v>1</v>
      </c>
      <c r="AC106" s="95" t="s">
        <v>924</v>
      </c>
      <c r="AD106" s="88" t="n">
        <f aca="false">772/0.75/1.2*1.05</f>
        <v>900.67</v>
      </c>
      <c r="AE106" s="88" t="n">
        <f aca="false">AD106*E106</f>
        <v>33775.13</v>
      </c>
      <c r="AF106" s="95" t="s">
        <v>925</v>
      </c>
      <c r="AG106" s="88" t="n">
        <f aca="false">779/0.75/1.2*1.05</f>
        <v>908.83</v>
      </c>
      <c r="AH106" s="89" t="n">
        <f aca="false">AG106*E106</f>
        <v>34081.13</v>
      </c>
      <c r="AI106" s="95" t="s">
        <v>926</v>
      </c>
      <c r="AJ106" s="88" t="n">
        <f aca="false">899/0.75/1.2*1.05</f>
        <v>1048.83</v>
      </c>
      <c r="AK106" s="89" t="n">
        <f aca="false">AJ106*E106</f>
        <v>39331.13</v>
      </c>
      <c r="AL106" s="91" t="n">
        <f aca="false">AVERAGE(AD106,AG106,AJ106)</f>
        <v>952.78</v>
      </c>
      <c r="AM106" s="91" t="n">
        <f aca="false">((F106-AL106)/AL106)*100</f>
        <v>8.04</v>
      </c>
      <c r="AN106" s="92" t="n">
        <f aca="false">AL106/1.2</f>
        <v>793.98</v>
      </c>
      <c r="AO106" s="92" t="n">
        <f aca="false">AL106*1.2</f>
        <v>1143.34</v>
      </c>
      <c r="AP106" s="86" t="n">
        <f aca="false">AND((AD106)&gt;=MIN(AN106),(AD106)&lt;=MAX(AO106))</f>
        <v>1</v>
      </c>
      <c r="AQ106" s="86" t="n">
        <f aca="false">AND((AG106)&gt;=MIN(AN106),(AG106)&lt;=MAX(AO106))</f>
        <v>1</v>
      </c>
      <c r="AR106" s="86" t="n">
        <f aca="false">AND((AJ106)&gt;=MIN(AN106),(AJ106)&lt;=MAX(AO106))</f>
        <v>1</v>
      </c>
    </row>
    <row r="107" s="38" customFormat="true" ht="105" hidden="false" customHeight="true" outlineLevel="0" collapsed="false">
      <c r="A107" s="28" t="n">
        <v>97</v>
      </c>
      <c r="B107" s="84" t="s">
        <v>927</v>
      </c>
      <c r="C107" s="63" t="s">
        <v>928</v>
      </c>
      <c r="D107" s="64" t="s">
        <v>27</v>
      </c>
      <c r="E107" s="65" t="n">
        <v>214</v>
      </c>
      <c r="F107" s="32" t="n">
        <f aca="false">P107</f>
        <v>258.13</v>
      </c>
      <c r="G107" s="33" t="s">
        <v>658</v>
      </c>
      <c r="H107" s="34" t="n">
        <f aca="false">540/2/1.2*1.05</f>
        <v>236.25</v>
      </c>
      <c r="I107" s="34" t="n">
        <f aca="false">E107*H107</f>
        <v>50557.5</v>
      </c>
      <c r="J107" s="33" t="s">
        <v>659</v>
      </c>
      <c r="K107" s="34" t="n">
        <f aca="false">625/2/1.2*1.05</f>
        <v>273.44</v>
      </c>
      <c r="L107" s="34" t="n">
        <f aca="false">E107*K107</f>
        <v>58516.16</v>
      </c>
      <c r="M107" s="33" t="s">
        <v>660</v>
      </c>
      <c r="N107" s="34" t="n">
        <f aca="false">605/2/1.2*1.05</f>
        <v>264.69</v>
      </c>
      <c r="O107" s="34" t="n">
        <f aca="false">E107*N107</f>
        <v>56643.66</v>
      </c>
      <c r="P107" s="35" t="n">
        <f aca="false">AVERAGE(H107,K107,N107)</f>
        <v>258.13</v>
      </c>
      <c r="Q107" s="36" t="n">
        <f aca="false">F107*100/P107-100</f>
        <v>0</v>
      </c>
      <c r="R107" s="35" t="n">
        <f aca="false">P107*E107</f>
        <v>55239.82</v>
      </c>
      <c r="S107" s="37"/>
      <c r="U107" s="39" t="n">
        <f aca="false">ROUND(H107*100/P107-100,0)</f>
        <v>-8</v>
      </c>
      <c r="V107" s="39" t="n">
        <f aca="false">ROUND(K107*100/P107-100,0)</f>
        <v>6</v>
      </c>
      <c r="W107" s="39" t="n">
        <f aca="false">ROUND(N107*100/P107-100,0)</f>
        <v>3</v>
      </c>
      <c r="X107" s="85" t="n">
        <f aca="false">P107/1.2</f>
        <v>215.11</v>
      </c>
      <c r="Y107" s="85" t="n">
        <f aca="false">P107*1.2</f>
        <v>309.76</v>
      </c>
      <c r="Z107" s="86" t="n">
        <f aca="false">AND((H107)&gt;=MIN(X107),(H107)&lt;=MAX(Y107))</f>
        <v>1</v>
      </c>
      <c r="AA107" s="86" t="n">
        <f aca="false">AND((K107)&gt;=MIN(X107),(K107)&lt;=MAX(Y107))</f>
        <v>1</v>
      </c>
      <c r="AB107" s="86" t="n">
        <f aca="false">AND((N107)&gt;=MIN(X107),(N107)&lt;=MAX(Y107))</f>
        <v>1</v>
      </c>
      <c r="AC107" s="95" t="s">
        <v>929</v>
      </c>
      <c r="AD107" s="88" t="n">
        <f aca="false">247.5/1.2*1.05</f>
        <v>216.56</v>
      </c>
      <c r="AE107" s="88" t="n">
        <f aca="false">AD107*E107</f>
        <v>46343.84</v>
      </c>
      <c r="AF107" s="95" t="s">
        <v>930</v>
      </c>
      <c r="AG107" s="88" t="n">
        <f aca="false">268/1.2*1.05</f>
        <v>234.5</v>
      </c>
      <c r="AH107" s="89" t="n">
        <f aca="false">AG107*E107</f>
        <v>50183</v>
      </c>
      <c r="AI107" s="95" t="s">
        <v>931</v>
      </c>
      <c r="AJ107" s="88" t="n">
        <f aca="false">420/2/1.2*1.05</f>
        <v>183.75</v>
      </c>
      <c r="AK107" s="89" t="n">
        <f aca="false">AJ107*E107</f>
        <v>39322.5</v>
      </c>
      <c r="AL107" s="91" t="n">
        <f aca="false">AVERAGE(AD107,AG107,AJ107)</f>
        <v>211.6</v>
      </c>
      <c r="AM107" s="91" t="n">
        <f aca="false">((F107-AL107)/AL107)*100</f>
        <v>21.99</v>
      </c>
      <c r="AN107" s="92" t="n">
        <f aca="false">AL107/1.2</f>
        <v>176.33</v>
      </c>
      <c r="AO107" s="92" t="n">
        <f aca="false">AL107*1.2</f>
        <v>253.92</v>
      </c>
      <c r="AP107" s="86" t="n">
        <f aca="false">AND((AD107)&gt;=MIN(AN107),(AD107)&lt;=MAX(AO107))</f>
        <v>1</v>
      </c>
      <c r="AQ107" s="86" t="n">
        <f aca="false">AND((AG107)&gt;=MIN(AN107),(AG107)&lt;=MAX(AO107))</f>
        <v>1</v>
      </c>
      <c r="AR107" s="86" t="n">
        <f aca="false">AND((AJ107)&gt;=MIN(AN107),(AJ107)&lt;=MAX(AO107))</f>
        <v>1</v>
      </c>
    </row>
    <row r="108" s="38" customFormat="true" ht="72" hidden="false" customHeight="true" outlineLevel="0" collapsed="false">
      <c r="A108" s="28" t="n">
        <v>98</v>
      </c>
      <c r="B108" s="104" t="s">
        <v>932</v>
      </c>
      <c r="C108" s="63" t="s">
        <v>933</v>
      </c>
      <c r="D108" s="64" t="s">
        <v>27</v>
      </c>
      <c r="E108" s="65" t="n">
        <v>545.94</v>
      </c>
      <c r="F108" s="32" t="n">
        <f aca="false">P108</f>
        <v>922.31</v>
      </c>
      <c r="G108" s="106" t="s">
        <v>32</v>
      </c>
      <c r="H108" s="34" t="n">
        <f aca="false">945/0.9/1.2*1.05</f>
        <v>918.75</v>
      </c>
      <c r="I108" s="34" t="n">
        <f aca="false">E108*H108</f>
        <v>501582.38</v>
      </c>
      <c r="J108" s="33" t="s">
        <v>33</v>
      </c>
      <c r="K108" s="34" t="n">
        <f aca="false">990/0.9/1.2*1.05</f>
        <v>962.5</v>
      </c>
      <c r="L108" s="34" t="n">
        <f aca="false">E108*K108</f>
        <v>525467.25</v>
      </c>
      <c r="M108" s="49" t="s">
        <v>34</v>
      </c>
      <c r="N108" s="34" t="n">
        <f aca="false">911/0.9/1.2*1.05</f>
        <v>885.69</v>
      </c>
      <c r="O108" s="34" t="n">
        <f aca="false">E108*N108</f>
        <v>483533.6</v>
      </c>
      <c r="P108" s="35" t="n">
        <f aca="false">AVERAGE(H108,K108,N108)</f>
        <v>922.31</v>
      </c>
      <c r="Q108" s="36" t="n">
        <f aca="false">F108*100/P108-100</f>
        <v>0</v>
      </c>
      <c r="R108" s="35" t="n">
        <f aca="false">P108*E108</f>
        <v>503525.92</v>
      </c>
      <c r="S108" s="37"/>
      <c r="U108" s="39" t="n">
        <f aca="false">ROUND(H108*100/P108-100,0)</f>
        <v>-0</v>
      </c>
      <c r="V108" s="39" t="n">
        <f aca="false">ROUND(K108*100/P108-100,0)</f>
        <v>4</v>
      </c>
      <c r="W108" s="39" t="n">
        <f aca="false">ROUND(N108*100/P108-100,0)</f>
        <v>-4</v>
      </c>
      <c r="X108" s="85" t="n">
        <f aca="false">P108/1.2</f>
        <v>768.59</v>
      </c>
      <c r="Y108" s="85" t="n">
        <f aca="false">P108*1.2</f>
        <v>1106.77</v>
      </c>
      <c r="Z108" s="86" t="n">
        <f aca="false">AND((H108)&gt;=MIN(X108),(H108)&lt;=MAX(Y108))</f>
        <v>1</v>
      </c>
      <c r="AA108" s="86" t="n">
        <f aca="false">AND((K108)&gt;=MIN(X108),(K108)&lt;=MAX(Y108))</f>
        <v>1</v>
      </c>
      <c r="AB108" s="86" t="n">
        <f aca="false">AND((N108)&gt;=MIN(X108),(N108)&lt;=MAX(Y108))</f>
        <v>1</v>
      </c>
      <c r="AC108" s="95"/>
      <c r="AD108" s="88"/>
      <c r="AE108" s="88"/>
      <c r="AF108" s="95"/>
      <c r="AG108" s="88"/>
      <c r="AH108" s="89"/>
      <c r="AI108" s="95"/>
      <c r="AJ108" s="88"/>
      <c r="AK108" s="89"/>
      <c r="AL108" s="91" t="e">
        <f aca="false">AVERAGE(AD108,AG108,AJ108)</f>
        <v>#DIV/0!</v>
      </c>
      <c r="AM108" s="91" t="e">
        <f aca="false">((F108-AL108)/AL108)*100</f>
        <v>#DIV/0!</v>
      </c>
      <c r="AN108" s="92" t="e">
        <f aca="false">AL108/1.2</f>
        <v>#DIV/0!</v>
      </c>
      <c r="AO108" s="92" t="e">
        <f aca="false">AL108*1.2</f>
        <v>#DIV/0!</v>
      </c>
      <c r="AP108" s="86" t="e">
        <f aca="false">AND((AD108)&gt;=MIN(AN108),(AD108)&lt;=MAX(AO108))</f>
        <v>#DIV/0!</v>
      </c>
      <c r="AQ108" s="86" t="e">
        <f aca="false">AND((AG108)&gt;=MIN(AN108),(AG108)&lt;=MAX(AO108))</f>
        <v>#DIV/0!</v>
      </c>
      <c r="AR108" s="86" t="e">
        <f aca="false">AND((AJ108)&gt;=MIN(AN108),(AJ108)&lt;=MAX(AO108))</f>
        <v>#DIV/0!</v>
      </c>
    </row>
    <row r="109" s="38" customFormat="true" ht="135" hidden="false" customHeight="true" outlineLevel="0" collapsed="false">
      <c r="A109" s="28" t="n">
        <v>99</v>
      </c>
      <c r="B109" s="99"/>
      <c r="C109" s="63" t="s">
        <v>662</v>
      </c>
      <c r="D109" s="64" t="s">
        <v>143</v>
      </c>
      <c r="E109" s="65" t="n">
        <v>10</v>
      </c>
      <c r="F109" s="32" t="n">
        <f aca="false">P109</f>
        <v>44773.75</v>
      </c>
      <c r="G109" s="33" t="s">
        <v>663</v>
      </c>
      <c r="H109" s="34" t="n">
        <f aca="false">53705.07/1.2*1.05</f>
        <v>46991.94</v>
      </c>
      <c r="I109" s="34" t="n">
        <f aca="false">E109*H109</f>
        <v>469919.4</v>
      </c>
      <c r="J109" s="33" t="s">
        <v>664</v>
      </c>
      <c r="K109" s="34" t="n">
        <f aca="false">48448/1.2*1.05</f>
        <v>42392</v>
      </c>
      <c r="L109" s="34" t="n">
        <f aca="false">E109*K109</f>
        <v>423920</v>
      </c>
      <c r="M109" s="33" t="s">
        <v>665</v>
      </c>
      <c r="N109" s="34" t="n">
        <f aca="false">51356.93/1.2*1.05</f>
        <v>44937.31</v>
      </c>
      <c r="O109" s="34" t="n">
        <f aca="false">E109*N109</f>
        <v>449373.1</v>
      </c>
      <c r="P109" s="35" t="n">
        <f aca="false">AVERAGE(H109,K109,N109)</f>
        <v>44773.75</v>
      </c>
      <c r="Q109" s="36" t="n">
        <f aca="false">F109*100/P109-100</f>
        <v>0</v>
      </c>
      <c r="R109" s="35" t="n">
        <f aca="false">P109*E109</f>
        <v>447737.5</v>
      </c>
      <c r="S109" s="37"/>
      <c r="U109" s="39" t="n">
        <f aca="false">ROUND(H109*100/P109-100,0)</f>
        <v>5</v>
      </c>
      <c r="V109" s="39" t="n">
        <f aca="false">ROUND(K109*100/P109-100,0)</f>
        <v>-5</v>
      </c>
      <c r="W109" s="39" t="n">
        <f aca="false">ROUND(N109*100/P109-100,0)</f>
        <v>0</v>
      </c>
      <c r="X109" s="85" t="n">
        <f aca="false">P109/1.2</f>
        <v>37311.46</v>
      </c>
      <c r="Y109" s="85" t="n">
        <f aca="false">P109*1.2</f>
        <v>53728.5</v>
      </c>
      <c r="Z109" s="86" t="n">
        <f aca="false">AND((H109)&gt;=MIN(X109),(H109)&lt;=MAX(Y109))</f>
        <v>1</v>
      </c>
      <c r="AA109" s="86" t="n">
        <f aca="false">AND((K109)&gt;=MIN(X109),(K109)&lt;=MAX(Y109))</f>
        <v>1</v>
      </c>
      <c r="AB109" s="86" t="n">
        <f aca="false">AND((N109)&gt;=MIN(X109),(N109)&lt;=MAX(Y109))</f>
        <v>1</v>
      </c>
      <c r="AC109" s="95" t="s">
        <v>934</v>
      </c>
      <c r="AD109" s="88" t="n">
        <f aca="false">41682/1.2*1.042</f>
        <v>36193.87</v>
      </c>
      <c r="AE109" s="88" t="n">
        <f aca="false">AD109*E109</f>
        <v>361938.7</v>
      </c>
      <c r="AF109" s="95" t="s">
        <v>935</v>
      </c>
      <c r="AG109" s="88" t="n">
        <f aca="false">43559/1.2*1.042</f>
        <v>37823.73</v>
      </c>
      <c r="AH109" s="89" t="n">
        <f aca="false">AG109*E109</f>
        <v>378237.3</v>
      </c>
      <c r="AI109" s="95" t="s">
        <v>936</v>
      </c>
      <c r="AJ109" s="88" t="n">
        <f aca="false">46455.92/1.2*1.042</f>
        <v>40339.22</v>
      </c>
      <c r="AK109" s="89" t="n">
        <f aca="false">AJ109*E109</f>
        <v>403392.2</v>
      </c>
      <c r="AL109" s="91" t="n">
        <f aca="false">AVERAGE(AD109,AG109,AJ109)</f>
        <v>38118.94</v>
      </c>
      <c r="AM109" s="91" t="n">
        <f aca="false">((F109-AL109)/AL109)*100</f>
        <v>17.46</v>
      </c>
      <c r="AN109" s="92" t="n">
        <f aca="false">AL109/1.2</f>
        <v>31765.78</v>
      </c>
      <c r="AO109" s="92" t="n">
        <f aca="false">AL109*1.2</f>
        <v>45742.73</v>
      </c>
      <c r="AP109" s="86" t="n">
        <f aca="false">AND((AD109)&gt;=MIN(AN109),(AD109)&lt;=MAX(AO109))</f>
        <v>1</v>
      </c>
      <c r="AQ109" s="86" t="n">
        <f aca="false">AND((AG109)&gt;=MIN(AN109),(AG109)&lt;=MAX(AO109))</f>
        <v>1</v>
      </c>
      <c r="AR109" s="86" t="n">
        <f aca="false">AND((AJ109)&gt;=MIN(AN109),(AJ109)&lt;=MAX(AO109))</f>
        <v>1</v>
      </c>
    </row>
    <row r="110" s="38" customFormat="true" ht="51" hidden="false" customHeight="true" outlineLevel="0" collapsed="false">
      <c r="A110" s="28" t="n">
        <v>100</v>
      </c>
      <c r="B110" s="84" t="s">
        <v>937</v>
      </c>
      <c r="C110" s="63" t="s">
        <v>666</v>
      </c>
      <c r="D110" s="64" t="s">
        <v>143</v>
      </c>
      <c r="E110" s="65" t="n">
        <v>80</v>
      </c>
      <c r="F110" s="32" t="n">
        <f aca="false">P110</f>
        <v>676.38</v>
      </c>
      <c r="G110" s="42" t="s">
        <v>667</v>
      </c>
      <c r="H110" s="34" t="n">
        <f aca="false">722/1.2*1.05</f>
        <v>631.75</v>
      </c>
      <c r="I110" s="34" t="n">
        <f aca="false">E110*H110</f>
        <v>50540</v>
      </c>
      <c r="J110" s="42" t="s">
        <v>668</v>
      </c>
      <c r="K110" s="34" t="n">
        <f aca="false">870/1.2*1.05</f>
        <v>761.25</v>
      </c>
      <c r="L110" s="34" t="n">
        <f aca="false">E110*K110</f>
        <v>60900</v>
      </c>
      <c r="M110" s="42" t="s">
        <v>669</v>
      </c>
      <c r="N110" s="34" t="n">
        <f aca="false">727/1.2*1.05</f>
        <v>636.13</v>
      </c>
      <c r="O110" s="34" t="n">
        <f aca="false">E110*N110</f>
        <v>50890.4</v>
      </c>
      <c r="P110" s="35" t="n">
        <f aca="false">AVERAGE(H110,K110,N110)</f>
        <v>676.38</v>
      </c>
      <c r="Q110" s="36" t="n">
        <f aca="false">F110*100/P110-100</f>
        <v>0</v>
      </c>
      <c r="R110" s="35" t="n">
        <f aca="false">P110*E110</f>
        <v>54110.4</v>
      </c>
      <c r="S110" s="37"/>
      <c r="U110" s="39" t="n">
        <f aca="false">ROUND(H110*100/P110-100,0)</f>
        <v>-7</v>
      </c>
      <c r="V110" s="39" t="n">
        <f aca="false">ROUND(K110*100/P110-100,0)</f>
        <v>13</v>
      </c>
      <c r="W110" s="39" t="n">
        <f aca="false">ROUND(N110*100/P110-100,0)</f>
        <v>-6</v>
      </c>
      <c r="X110" s="85" t="n">
        <f aca="false">P110/1.2</f>
        <v>563.65</v>
      </c>
      <c r="Y110" s="85" t="n">
        <f aca="false">P110*1.2</f>
        <v>811.66</v>
      </c>
      <c r="Z110" s="86" t="n">
        <f aca="false">AND((H110)&gt;=MIN(X110),(H110)&lt;=MAX(Y110))</f>
        <v>1</v>
      </c>
      <c r="AA110" s="86" t="n">
        <f aca="false">AND((K110)&gt;=MIN(X110),(K110)&lt;=MAX(Y110))</f>
        <v>1</v>
      </c>
      <c r="AB110" s="86" t="n">
        <f aca="false">AND((N110)&gt;=MIN(X110),(N110)&lt;=MAX(Y110))</f>
        <v>1</v>
      </c>
      <c r="AC110" s="95" t="s">
        <v>938</v>
      </c>
      <c r="AD110" s="88" t="n">
        <f aca="false">487/1.2*1.05</f>
        <v>426.13</v>
      </c>
      <c r="AE110" s="88" t="n">
        <f aca="false">AD110*E110</f>
        <v>34090.4</v>
      </c>
      <c r="AF110" s="95" t="s">
        <v>939</v>
      </c>
      <c r="AG110" s="88" t="n">
        <f aca="false">572.55/1.2*1.05</f>
        <v>500.98</v>
      </c>
      <c r="AH110" s="89" t="n">
        <f aca="false">AG110*E110</f>
        <v>40078.4</v>
      </c>
      <c r="AI110" s="95" t="s">
        <v>940</v>
      </c>
      <c r="AJ110" s="88" t="n">
        <f aca="false">689.26/1.2*1.05</f>
        <v>603.1</v>
      </c>
      <c r="AK110" s="89" t="n">
        <f aca="false">AJ110*E110</f>
        <v>48248</v>
      </c>
      <c r="AL110" s="91" t="n">
        <f aca="false">AVERAGE(AD110,AG110,AJ110)</f>
        <v>510.07</v>
      </c>
      <c r="AM110" s="91" t="n">
        <f aca="false">((F110-AL110)/AL110)*100</f>
        <v>32.61</v>
      </c>
      <c r="AN110" s="92" t="n">
        <f aca="false">AL110/1.2</f>
        <v>425.06</v>
      </c>
      <c r="AO110" s="92" t="n">
        <f aca="false">AL110*1.2</f>
        <v>612.08</v>
      </c>
      <c r="AP110" s="86" t="n">
        <f aca="false">AND((AD110)&gt;=MIN(AN110),(AD110)&lt;=MAX(AO110))</f>
        <v>1</v>
      </c>
      <c r="AQ110" s="86" t="n">
        <f aca="false">AND((AG110)&gt;=MIN(AN110),(AG110)&lt;=MAX(AO110))</f>
        <v>1</v>
      </c>
      <c r="AR110" s="86" t="n">
        <f aca="false">AND((AJ110)&gt;=MIN(AN110),(AJ110)&lt;=MAX(AO110))</f>
        <v>1</v>
      </c>
    </row>
    <row r="111" s="38" customFormat="true" ht="53.25" hidden="false" customHeight="true" outlineLevel="0" collapsed="false">
      <c r="A111" s="28" t="n">
        <v>101</v>
      </c>
      <c r="B111" s="97" t="s">
        <v>941</v>
      </c>
      <c r="C111" s="63" t="s">
        <v>670</v>
      </c>
      <c r="D111" s="64" t="s">
        <v>27</v>
      </c>
      <c r="E111" s="65" t="n">
        <v>2663.01</v>
      </c>
      <c r="F111" s="32" t="n">
        <f aca="false">P111</f>
        <v>264.16</v>
      </c>
      <c r="G111" s="42" t="s">
        <v>671</v>
      </c>
      <c r="H111" s="34" t="n">
        <f aca="false">4283/13/1.2*1.05</f>
        <v>288.28</v>
      </c>
      <c r="I111" s="34" t="n">
        <f aca="false">E111*H111</f>
        <v>767692.52</v>
      </c>
      <c r="J111" s="42" t="s">
        <v>672</v>
      </c>
      <c r="K111" s="34" t="n">
        <f aca="false">4558/14/1.2*1.05</f>
        <v>284.88</v>
      </c>
      <c r="L111" s="34" t="n">
        <f aca="false">E111*K111</f>
        <v>758638.29</v>
      </c>
      <c r="M111" s="42" t="s">
        <v>673</v>
      </c>
      <c r="N111" s="34" t="n">
        <f aca="false">3760/15/1.2*1.05</f>
        <v>219.33</v>
      </c>
      <c r="O111" s="34" t="n">
        <f aca="false">E111*N111</f>
        <v>584077.98</v>
      </c>
      <c r="P111" s="35" t="n">
        <f aca="false">AVERAGE(H111,K111,N111)</f>
        <v>264.16</v>
      </c>
      <c r="Q111" s="36" t="n">
        <f aca="false">F111*100/P111-100</f>
        <v>0</v>
      </c>
      <c r="R111" s="35" t="n">
        <f aca="false">P111*E111</f>
        <v>703460.72</v>
      </c>
      <c r="S111" s="37"/>
      <c r="U111" s="39" t="n">
        <f aca="false">ROUND(H111*100/P111-100,0)</f>
        <v>9</v>
      </c>
      <c r="V111" s="39" t="n">
        <f aca="false">ROUND(K111*100/P111-100,0)</f>
        <v>8</v>
      </c>
      <c r="W111" s="39" t="n">
        <f aca="false">ROUND(N111*100/P111-100,0)</f>
        <v>-17</v>
      </c>
      <c r="X111" s="85" t="n">
        <f aca="false">P111/1.2</f>
        <v>220.13</v>
      </c>
      <c r="Y111" s="85" t="n">
        <f aca="false">P111*1.2</f>
        <v>316.99</v>
      </c>
      <c r="Z111" s="86" t="n">
        <f aca="false">AND((H111)&gt;=MIN(X111),(H111)&lt;=MAX(Y111))</f>
        <v>1</v>
      </c>
      <c r="AA111" s="86" t="n">
        <f aca="false">AND((K111)&gt;=MIN(X111),(K111)&lt;=MAX(Y111))</f>
        <v>1</v>
      </c>
      <c r="AB111" s="101" t="n">
        <f aca="false">AND((N111)&gt;=MIN(X111),(N111)&lt;=MAX(Y111))</f>
        <v>0</v>
      </c>
      <c r="AC111" s="95"/>
      <c r="AD111" s="88"/>
      <c r="AE111" s="88" t="n">
        <f aca="false">AD111*E111</f>
        <v>0</v>
      </c>
      <c r="AF111" s="95"/>
      <c r="AG111" s="88"/>
      <c r="AH111" s="89" t="n">
        <f aca="false">AG111*E111</f>
        <v>0</v>
      </c>
      <c r="AI111" s="95"/>
      <c r="AJ111" s="88"/>
      <c r="AK111" s="89" t="n">
        <f aca="false">AJ111*E111</f>
        <v>0</v>
      </c>
      <c r="AL111" s="91" t="e">
        <f aca="false">AVERAGE(AD111,AG111,AJ111)</f>
        <v>#DIV/0!</v>
      </c>
      <c r="AM111" s="91" t="e">
        <f aca="false">((F111-AL111)/AL111)*100</f>
        <v>#DIV/0!</v>
      </c>
      <c r="AN111" s="92" t="e">
        <f aca="false">AL111/1.2</f>
        <v>#DIV/0!</v>
      </c>
      <c r="AO111" s="92" t="e">
        <f aca="false">AL111*1.2</f>
        <v>#DIV/0!</v>
      </c>
      <c r="AP111" s="86" t="e">
        <f aca="false">AND((AD111)&gt;=MIN(AN111),(AD111)&lt;=MAX(AO111))</f>
        <v>#DIV/0!</v>
      </c>
      <c r="AQ111" s="86" t="e">
        <f aca="false">AND((AG111)&gt;=MIN(AN111),(AG111)&lt;=MAX(AO111))</f>
        <v>#DIV/0!</v>
      </c>
      <c r="AR111" s="86" t="e">
        <f aca="false">AND((AJ111)&gt;=MIN(AN111),(AJ111)&lt;=MAX(AO111))</f>
        <v>#DIV/0!</v>
      </c>
    </row>
    <row r="112" s="38" customFormat="true" ht="51.75" hidden="false" customHeight="true" outlineLevel="0" collapsed="false">
      <c r="A112" s="28" t="n">
        <v>102</v>
      </c>
      <c r="B112" s="84" t="s">
        <v>942</v>
      </c>
      <c r="C112" s="63" t="s">
        <v>674</v>
      </c>
      <c r="D112" s="64" t="s">
        <v>675</v>
      </c>
      <c r="E112" s="65" t="n">
        <v>172.15</v>
      </c>
      <c r="F112" s="32" t="n">
        <f aca="false">P112</f>
        <v>3791.67</v>
      </c>
      <c r="G112" s="67" t="s">
        <v>676</v>
      </c>
      <c r="H112" s="68" t="n">
        <f aca="false">4700/1.2*1.05</f>
        <v>4112.5</v>
      </c>
      <c r="I112" s="68" t="n">
        <f aca="false">E112*H112</f>
        <v>707966.88</v>
      </c>
      <c r="J112" s="67" t="s">
        <v>677</v>
      </c>
      <c r="K112" s="68" t="n">
        <f aca="false">4200/1.2*1.05</f>
        <v>3675</v>
      </c>
      <c r="L112" s="68" t="n">
        <f aca="false">E112*K112</f>
        <v>632651.25</v>
      </c>
      <c r="M112" s="67" t="s">
        <v>678</v>
      </c>
      <c r="N112" s="68" t="n">
        <f aca="false">4100/1.2*1.05</f>
        <v>3587.5</v>
      </c>
      <c r="O112" s="34" t="n">
        <f aca="false">E112*N112</f>
        <v>617588.13</v>
      </c>
      <c r="P112" s="35" t="n">
        <f aca="false">AVERAGE(H112,K112,N112)</f>
        <v>3791.67</v>
      </c>
      <c r="Q112" s="36" t="n">
        <f aca="false">F112*100/P112-100</f>
        <v>0</v>
      </c>
      <c r="R112" s="35" t="n">
        <f aca="false">P112*E112</f>
        <v>652735.99</v>
      </c>
      <c r="S112" s="37"/>
      <c r="U112" s="39" t="n">
        <f aca="false">ROUND(H112*100/P112-100,0)</f>
        <v>8</v>
      </c>
      <c r="V112" s="39" t="n">
        <f aca="false">ROUND(K112*100/P112-100,0)</f>
        <v>-3</v>
      </c>
      <c r="W112" s="39" t="n">
        <f aca="false">ROUND(N112*100/P112-100,0)</f>
        <v>-5</v>
      </c>
      <c r="X112" s="85" t="n">
        <f aca="false">P112/1.2</f>
        <v>3159.73</v>
      </c>
      <c r="Y112" s="85" t="n">
        <f aca="false">P112*1.2</f>
        <v>4550</v>
      </c>
      <c r="Z112" s="86" t="n">
        <f aca="false">AND((H112)&gt;=MIN(X112),(H112)&lt;=MAX(Y112))</f>
        <v>1</v>
      </c>
      <c r="AA112" s="86" t="n">
        <f aca="false">AND((K112)&gt;=MIN(X112),(K112)&lt;=MAX(Y112))</f>
        <v>1</v>
      </c>
      <c r="AB112" s="86" t="n">
        <f aca="false">AND((N112)&gt;=MIN(X112),(N112)&lt;=MAX(Y112))</f>
        <v>1</v>
      </c>
      <c r="AC112" s="95"/>
      <c r="AD112" s="88"/>
      <c r="AE112" s="88" t="n">
        <f aca="false">AD112*E112</f>
        <v>0</v>
      </c>
      <c r="AF112" s="95"/>
      <c r="AG112" s="88"/>
      <c r="AH112" s="89" t="n">
        <f aca="false">AG112*E112</f>
        <v>0</v>
      </c>
      <c r="AI112" s="95"/>
      <c r="AJ112" s="88"/>
      <c r="AK112" s="89" t="n">
        <f aca="false">AJ112*E112</f>
        <v>0</v>
      </c>
      <c r="AL112" s="91" t="e">
        <f aca="false">AVERAGE(AD112,AG112,AJ112)</f>
        <v>#DIV/0!</v>
      </c>
      <c r="AM112" s="91" t="e">
        <f aca="false">((F112-AL112)/AL112)*100</f>
        <v>#DIV/0!</v>
      </c>
      <c r="AN112" s="92" t="e">
        <f aca="false">AL112/1.2</f>
        <v>#DIV/0!</v>
      </c>
      <c r="AO112" s="92" t="e">
        <f aca="false">AL112*1.2</f>
        <v>#DIV/0!</v>
      </c>
      <c r="AP112" s="86" t="e">
        <f aca="false">AND((AD112)&gt;=MIN(AN112),(AD112)&lt;=MAX(AO112))</f>
        <v>#DIV/0!</v>
      </c>
      <c r="AQ112" s="86" t="e">
        <f aca="false">AND((AG112)&gt;=MIN(AN112),(AG112)&lt;=MAX(AO112))</f>
        <v>#DIV/0!</v>
      </c>
      <c r="AR112" s="86" t="e">
        <f aca="false">AND((AJ112)&gt;=MIN(AN112),(AJ112)&lt;=MAX(AO112))</f>
        <v>#DIV/0!</v>
      </c>
    </row>
    <row r="113" s="38" customFormat="true" ht="62.25" hidden="false" customHeight="true" outlineLevel="0" collapsed="false">
      <c r="A113" s="28" t="n">
        <v>103</v>
      </c>
      <c r="B113" s="99"/>
      <c r="C113" s="63" t="s">
        <v>679</v>
      </c>
      <c r="D113" s="64" t="s">
        <v>27</v>
      </c>
      <c r="E113" s="65" t="n">
        <v>1682</v>
      </c>
      <c r="F113" s="32" t="n">
        <f aca="false">P113</f>
        <v>21.29</v>
      </c>
      <c r="G113" s="33" t="s">
        <v>680</v>
      </c>
      <c r="H113" s="34" t="n">
        <f aca="false">122/5/1.2*1.05</f>
        <v>21.35</v>
      </c>
      <c r="I113" s="34" t="n">
        <f aca="false">E113*H113</f>
        <v>35910.7</v>
      </c>
      <c r="J113" s="33" t="s">
        <v>681</v>
      </c>
      <c r="K113" s="34" t="n">
        <f aca="false">125/5/1.2*1.05</f>
        <v>21.88</v>
      </c>
      <c r="L113" s="34" t="n">
        <f aca="false">E113*K113</f>
        <v>36802.16</v>
      </c>
      <c r="M113" s="33" t="s">
        <v>682</v>
      </c>
      <c r="N113" s="34" t="n">
        <f aca="false">118/5/1.2*1.05</f>
        <v>20.65</v>
      </c>
      <c r="O113" s="34" t="n">
        <f aca="false">E113*N113</f>
        <v>34733.3</v>
      </c>
      <c r="P113" s="35" t="n">
        <f aca="false">AVERAGE(H113,K113,N113)</f>
        <v>21.29</v>
      </c>
      <c r="Q113" s="36" t="n">
        <f aca="false">F113*100/P113-100</f>
        <v>0</v>
      </c>
      <c r="R113" s="35" t="n">
        <f aca="false">P113*E113</f>
        <v>35809.78</v>
      </c>
      <c r="S113" s="37"/>
      <c r="U113" s="39" t="n">
        <f aca="false">ROUND(H113*100/P113-100,0)</f>
        <v>0</v>
      </c>
      <c r="V113" s="39" t="n">
        <f aca="false">ROUND(K113*100/P113-100,0)</f>
        <v>3</v>
      </c>
      <c r="W113" s="39" t="n">
        <f aca="false">ROUND(N113*100/P113-100,0)</f>
        <v>-3</v>
      </c>
      <c r="X113" s="85" t="n">
        <f aca="false">P113/1.2</f>
        <v>17.74</v>
      </c>
      <c r="Y113" s="85" t="n">
        <f aca="false">P113*1.2</f>
        <v>25.55</v>
      </c>
      <c r="Z113" s="86" t="n">
        <f aca="false">AND((H113)&gt;=MIN(X113),(H113)&lt;=MAX(Y113))</f>
        <v>1</v>
      </c>
      <c r="AA113" s="86" t="n">
        <f aca="false">AND((K113)&gt;=MIN(X113),(K113)&lt;=MAX(Y113))</f>
        <v>1</v>
      </c>
      <c r="AB113" s="86" t="n">
        <f aca="false">AND((N113)&gt;=MIN(X113),(N113)&lt;=MAX(Y113))</f>
        <v>1</v>
      </c>
      <c r="AC113" s="95" t="s">
        <v>943</v>
      </c>
      <c r="AD113" s="88" t="n">
        <f aca="false">390/25/1.2*1.05</f>
        <v>13.65</v>
      </c>
      <c r="AE113" s="88" t="n">
        <f aca="false">AD113*E113</f>
        <v>22959.3</v>
      </c>
      <c r="AF113" s="95" t="s">
        <v>944</v>
      </c>
      <c r="AG113" s="88" t="n">
        <f aca="false">374/25/1.2*1.05</f>
        <v>13.09</v>
      </c>
      <c r="AH113" s="89" t="n">
        <f aca="false">AG113*E113</f>
        <v>22017.38</v>
      </c>
      <c r="AI113" s="95" t="s">
        <v>945</v>
      </c>
      <c r="AJ113" s="88" t="n">
        <f aca="false">380/25/1.2*1.05</f>
        <v>13.3</v>
      </c>
      <c r="AK113" s="89" t="n">
        <f aca="false">AJ113*E113</f>
        <v>22370.6</v>
      </c>
      <c r="AL113" s="91" t="n">
        <f aca="false">AVERAGE(AD113,AG113,AJ113)</f>
        <v>13.35</v>
      </c>
      <c r="AM113" s="91" t="n">
        <f aca="false">((F113-AL113)/AL113)*100</f>
        <v>59.48</v>
      </c>
      <c r="AN113" s="92" t="n">
        <f aca="false">AL113/1.2</f>
        <v>11.13</v>
      </c>
      <c r="AO113" s="92" t="n">
        <f aca="false">AL113*1.2</f>
        <v>16.02</v>
      </c>
      <c r="AP113" s="86" t="n">
        <f aca="false">AND((AD113)&gt;=MIN(AN113),(AD113)&lt;=MAX(AO113))</f>
        <v>1</v>
      </c>
      <c r="AQ113" s="86" t="n">
        <f aca="false">AND((AG113)&gt;=MIN(AN113),(AG113)&lt;=MAX(AO113))</f>
        <v>1</v>
      </c>
      <c r="AR113" s="86" t="n">
        <f aca="false">AND((AJ113)&gt;=MIN(AN113),(AJ113)&lt;=MAX(AO113))</f>
        <v>1</v>
      </c>
    </row>
    <row r="114" s="38" customFormat="true" ht="60.75" hidden="false" customHeight="true" outlineLevel="0" collapsed="false">
      <c r="A114" s="28" t="n">
        <v>104</v>
      </c>
      <c r="B114" s="99"/>
      <c r="C114" s="63" t="s">
        <v>683</v>
      </c>
      <c r="D114" s="64" t="s">
        <v>27</v>
      </c>
      <c r="E114" s="65" t="n">
        <v>92</v>
      </c>
      <c r="F114" s="32" t="n">
        <f aca="false">P114</f>
        <v>338.33</v>
      </c>
      <c r="G114" s="33" t="s">
        <v>684</v>
      </c>
      <c r="H114" s="34" t="n">
        <f aca="false">360/1.2*1.05</f>
        <v>315</v>
      </c>
      <c r="I114" s="34" t="n">
        <f aca="false">E114*H114</f>
        <v>28980</v>
      </c>
      <c r="J114" s="33" t="s">
        <v>685</v>
      </c>
      <c r="K114" s="34" t="n">
        <f aca="false">380/1.2*1.05</f>
        <v>332.5</v>
      </c>
      <c r="L114" s="34" t="n">
        <f aca="false">E114*K114</f>
        <v>30590</v>
      </c>
      <c r="M114" s="33" t="s">
        <v>686</v>
      </c>
      <c r="N114" s="34" t="n">
        <f aca="false">420/1.2*1.05</f>
        <v>367.5</v>
      </c>
      <c r="O114" s="34" t="n">
        <f aca="false">E114*N114</f>
        <v>33810</v>
      </c>
      <c r="P114" s="35" t="n">
        <f aca="false">AVERAGE(H114,K114,N114)</f>
        <v>338.33</v>
      </c>
      <c r="Q114" s="36" t="n">
        <f aca="false">F114*100/P114-100</f>
        <v>0</v>
      </c>
      <c r="R114" s="35" t="n">
        <f aca="false">P114*E114</f>
        <v>31126.36</v>
      </c>
      <c r="S114" s="37"/>
      <c r="U114" s="39" t="n">
        <f aca="false">ROUND(H114*100/P114-100,0)</f>
        <v>-7</v>
      </c>
      <c r="V114" s="39" t="n">
        <f aca="false">ROUND(K114*100/P114-100,0)</f>
        <v>-2</v>
      </c>
      <c r="W114" s="39" t="n">
        <f aca="false">ROUND(N114*100/P114-100,0)</f>
        <v>9</v>
      </c>
      <c r="X114" s="85" t="n">
        <f aca="false">P114/1.2</f>
        <v>281.94</v>
      </c>
      <c r="Y114" s="85" t="n">
        <f aca="false">P114*1.2</f>
        <v>406</v>
      </c>
      <c r="Z114" s="86" t="n">
        <f aca="false">AND((H114)&gt;=MIN(X114),(H114)&lt;=MAX(Y114))</f>
        <v>1</v>
      </c>
      <c r="AA114" s="86" t="n">
        <f aca="false">AND((K114)&gt;=MIN(X114),(K114)&lt;=MAX(Y114))</f>
        <v>1</v>
      </c>
      <c r="AB114" s="86" t="n">
        <f aca="false">AND((N114)&gt;=MIN(X114),(N114)&lt;=MAX(Y114))</f>
        <v>1</v>
      </c>
      <c r="AC114" s="95" t="s">
        <v>946</v>
      </c>
      <c r="AD114" s="88" t="n">
        <f aca="false">2360/5.3/1.2*1.05</f>
        <v>389.62</v>
      </c>
      <c r="AE114" s="88" t="n">
        <f aca="false">AD114*E114</f>
        <v>35845.04</v>
      </c>
      <c r="AF114" s="95" t="s">
        <v>947</v>
      </c>
      <c r="AG114" s="88" t="n">
        <f aca="false">385/1.2*1.05</f>
        <v>336.88</v>
      </c>
      <c r="AH114" s="89" t="n">
        <f aca="false">AG114*E114</f>
        <v>30992.96</v>
      </c>
      <c r="AI114" s="95" t="s">
        <v>948</v>
      </c>
      <c r="AJ114" s="88" t="n">
        <f aca="false">1990/5.2/1.2*1.05</f>
        <v>334.86</v>
      </c>
      <c r="AK114" s="89" t="n">
        <f aca="false">AJ114*E114</f>
        <v>30807.12</v>
      </c>
      <c r="AL114" s="91" t="n">
        <f aca="false">AVERAGE(AD114,AG114,AJ114)</f>
        <v>353.79</v>
      </c>
      <c r="AM114" s="91" t="n">
        <f aca="false">((F114-AL114)/AL114)*100</f>
        <v>-4.37</v>
      </c>
      <c r="AN114" s="92" t="n">
        <f aca="false">AL114/1.2</f>
        <v>294.83</v>
      </c>
      <c r="AO114" s="92" t="n">
        <f aca="false">AL114*1.2</f>
        <v>424.55</v>
      </c>
      <c r="AP114" s="86" t="n">
        <f aca="false">AND((AD114)&gt;=MIN(AN114),(AD114)&lt;=MAX(AO114))</f>
        <v>1</v>
      </c>
      <c r="AQ114" s="86" t="n">
        <f aca="false">AND((AG114)&gt;=MIN(AN114),(AG114)&lt;=MAX(AO114))</f>
        <v>1</v>
      </c>
      <c r="AR114" s="86" t="n">
        <f aca="false">AND((AJ114)&gt;=MIN(AN114),(AJ114)&lt;=MAX(AO114))</f>
        <v>1</v>
      </c>
    </row>
    <row r="115" s="71" customFormat="true" ht="25.5" hidden="false" customHeight="true" outlineLevel="0" collapsed="false">
      <c r="A115" s="69" t="s">
        <v>687</v>
      </c>
      <c r="B115" s="69"/>
      <c r="C115" s="69"/>
      <c r="D115" s="69"/>
      <c r="E115" s="69"/>
      <c r="F115" s="69"/>
      <c r="G115" s="69"/>
      <c r="H115" s="69"/>
      <c r="I115" s="69"/>
      <c r="J115" s="69"/>
      <c r="K115" s="69"/>
      <c r="L115" s="69"/>
      <c r="M115" s="69"/>
      <c r="N115" s="69"/>
      <c r="O115" s="69"/>
      <c r="P115" s="35" t="n">
        <f aca="false">SUM(P11:P85)</f>
        <v>221022.31</v>
      </c>
      <c r="Q115" s="36"/>
      <c r="R115" s="35"/>
      <c r="S115" s="70"/>
    </row>
    <row r="116" s="8" customFormat="true" ht="33" hidden="false" customHeight="true" outlineLevel="0" collapsed="false">
      <c r="A116" s="72"/>
      <c r="B116" s="72"/>
      <c r="C116" s="73"/>
      <c r="D116" s="73"/>
      <c r="E116" s="73"/>
      <c r="F116" s="73"/>
      <c r="G116" s="73"/>
      <c r="H116" s="73"/>
      <c r="I116" s="73"/>
      <c r="J116" s="74"/>
      <c r="K116" s="72"/>
      <c r="L116" s="72"/>
      <c r="M116" s="72"/>
      <c r="N116" s="72"/>
      <c r="O116" s="72"/>
      <c r="P116" s="72"/>
      <c r="Q116" s="72"/>
      <c r="R116" s="72"/>
      <c r="S116" s="72"/>
    </row>
    <row r="117" customFormat="false" ht="15.75" hidden="false" customHeight="true" outlineLevel="0" collapsed="false">
      <c r="C117" s="75" t="s">
        <v>688</v>
      </c>
      <c r="J117" s="74"/>
    </row>
    <row r="118" customFormat="false" ht="15.75" hidden="false" customHeight="true" outlineLevel="0" collapsed="false">
      <c r="J118" s="74"/>
    </row>
    <row r="119" customFormat="false" ht="15" hidden="false" customHeight="true" outlineLevel="0" collapsed="false"/>
    <row r="120" customFormat="false" ht="124.5" hidden="false" customHeight="true" outlineLevel="0" collapsed="false">
      <c r="C120" s="76" t="s">
        <v>689</v>
      </c>
      <c r="D120" s="76"/>
      <c r="E120" s="76"/>
      <c r="F120" s="76"/>
      <c r="G120" s="76"/>
      <c r="H120" s="76"/>
      <c r="I120" s="76"/>
      <c r="J120" s="76"/>
      <c r="K120" s="76"/>
      <c r="L120" s="76"/>
      <c r="M120" s="76"/>
      <c r="N120" s="76"/>
      <c r="O120" s="76"/>
      <c r="P120" s="76"/>
      <c r="Q120" s="76"/>
    </row>
    <row r="121" customFormat="false" ht="15" hidden="false" customHeight="true" outlineLevel="0" collapsed="false"/>
    <row r="122" customFormat="false" ht="32.25" hidden="false" customHeight="true" outlineLevel="0" collapsed="false">
      <c r="C122" s="76" t="s">
        <v>690</v>
      </c>
      <c r="D122" s="76"/>
      <c r="E122" s="76"/>
      <c r="F122" s="76"/>
      <c r="G122" s="76"/>
      <c r="H122" s="76"/>
      <c r="I122" s="76"/>
      <c r="J122" s="76"/>
      <c r="K122" s="76"/>
      <c r="L122" s="76"/>
      <c r="M122" s="76"/>
      <c r="N122" s="76"/>
      <c r="O122" s="76"/>
      <c r="P122" s="76"/>
      <c r="Q122" s="76"/>
    </row>
    <row r="123" customFormat="false" ht="15" hidden="false" customHeight="true" outlineLevel="0" collapsed="false"/>
    <row r="124" customFormat="false" ht="15" hidden="false" customHeight="true" outlineLevel="0" collapsed="false"/>
    <row r="125" customFormat="false" ht="15" hidden="false" customHeight="true" outlineLevel="0" collapsed="false"/>
    <row r="126" customFormat="false" ht="15" hidden="false" customHeight="true" outlineLevel="0" collapsed="false"/>
    <row r="127" customFormat="false" ht="15" hidden="false" customHeight="true" outlineLevel="0" collapsed="false"/>
    <row r="128" customFormat="false" ht="15" hidden="false" customHeight="true" outlineLevel="0" collapsed="false"/>
    <row r="129" customFormat="false" ht="15" hidden="false" customHeight="true" outlineLevel="0" collapsed="false"/>
    <row r="130" customFormat="false" ht="15" hidden="false" customHeight="true" outlineLevel="0" collapsed="false">
      <c r="I130" s="1" t="n">
        <f aca="false">149/130</f>
        <v>1.14615384615385</v>
      </c>
    </row>
  </sheetData>
  <autoFilter ref="A10:Q115"/>
  <mergeCells count="27">
    <mergeCell ref="P1:S1"/>
    <mergeCell ref="P2:S2"/>
    <mergeCell ref="A3:P3"/>
    <mergeCell ref="A5:Q5"/>
    <mergeCell ref="A7:A9"/>
    <mergeCell ref="B7:B9"/>
    <mergeCell ref="C7:C9"/>
    <mergeCell ref="D7:D9"/>
    <mergeCell ref="E7:E9"/>
    <mergeCell ref="F7:F9"/>
    <mergeCell ref="G7:I8"/>
    <mergeCell ref="J7:L8"/>
    <mergeCell ref="M7:O8"/>
    <mergeCell ref="P7:P9"/>
    <mergeCell ref="Q7:Q9"/>
    <mergeCell ref="R7:R9"/>
    <mergeCell ref="S7:S9"/>
    <mergeCell ref="U7:W8"/>
    <mergeCell ref="AC7:AE8"/>
    <mergeCell ref="AF7:AH8"/>
    <mergeCell ref="AI7:AK8"/>
    <mergeCell ref="AL7:AL9"/>
    <mergeCell ref="AM7:AM9"/>
    <mergeCell ref="A115:O115"/>
    <mergeCell ref="C116:I116"/>
    <mergeCell ref="C120:Q120"/>
    <mergeCell ref="C122:Q122"/>
  </mergeCells>
  <conditionalFormatting sqref="AM7:AM9">
    <cfRule type="cellIs" priority="2" operator="equal" aboveAverage="0" equalAverage="0" bottom="0" percent="0" rank="0" text="" dxfId="18">
      <formula>0</formula>
    </cfRule>
    <cfRule type="cellIs" priority="3" operator="lessThan" aboveAverage="0" equalAverage="0" bottom="0" percent="0" rank="0" text="" dxfId="19">
      <formula>0</formula>
    </cfRule>
    <cfRule type="cellIs" priority="4" operator="greaterThan" aboveAverage="0" equalAverage="0" bottom="0" percent="0" rank="0" text="" dxfId="20">
      <formula>0</formula>
    </cfRule>
  </conditionalFormatting>
  <conditionalFormatting sqref="AM11:AM114">
    <cfRule type="cellIs" priority="5" operator="equal" aboveAverage="0" equalAverage="0" bottom="0" percent="0" rank="0" text="" dxfId="21">
      <formula>0</formula>
    </cfRule>
    <cfRule type="cellIs" priority="6" operator="lessThan" aboveAverage="0" equalAverage="0" bottom="0" percent="0" rank="0" text="" dxfId="22">
      <formula>0</formula>
    </cfRule>
    <cfRule type="cellIs" priority="7" operator="greaterThan" aboveAverage="0" equalAverage="0" bottom="0" percent="0" rank="0" text="" dxfId="23">
      <formula>0</formula>
    </cfRule>
  </conditionalFormatting>
  <conditionalFormatting sqref="U11:W114">
    <cfRule type="expression" priority="8" aboveAverage="0" equalAverage="0" bottom="0" percent="0" rank="0" text="" dxfId="24">
      <formula>AND(U11&lt;-20,U11&lt;0)</formula>
    </cfRule>
    <cfRule type="expression" priority="9" aboveAverage="0" equalAverage="0" bottom="0" percent="0" rank="0" text="" dxfId="25">
      <formula>AND(U11&gt;20,U11&gt;0)</formula>
    </cfRule>
  </conditionalFormatting>
  <conditionalFormatting sqref="Q11:Q115">
    <cfRule type="cellIs" priority="10" operator="greaterThan" aboveAverage="0" equalAverage="0" bottom="0" percent="0" rank="0" text="" dxfId="26">
      <formula>0</formula>
    </cfRule>
  </conditionalFormatting>
  <hyperlinks>
    <hyperlink ref="G11" r:id="rId2" display="https://www.magazin-krasok.com/polirovka/autokosmetika/motorhim/11abr-abro.html"/>
    <hyperlink ref="J11" r:id="rId3" display="https://avsila.ru/catalog/masla-avtokosmetika-avtokhimiya/germetiki/germetik-abro-silikonovyy-krasnyy-85-gr-original-11ab-r/?ysclid=lnna30tmkz989350706"/>
    <hyperlink ref="M11" r:id="rId4" display="https://www.avtoall.ru/germetik_krasnyiy_silikonovyiy_vysokotemperaturnyiy_85g_abro-481831/?ysclid=lnna2yqqvs230393224#"/>
    <hyperlink ref="G12" r:id="rId5" location="searchQuery=Грунт-эмаль+по+ржавчине+HardMax+Корроед&amp;searchType=srp" display="https://novorossiysk.vseinstrumenti.ru/product/grunt-emal-po-rzhavchine-hardmax-korroed-ral-7040-okonnyj-seryj-banka-1-9-kg-1-sht-4690417071739-1853434/#searchQuery=Грунт-эмаль+по+ржавчине+HardMax+Корроед&amp;searchType=srp"/>
    <hyperlink ref="J12" r:id="rId6" display="https://www.chipdip.ru/product0/8018241711?ysclid=lnncntmipn274156882"/>
    <hyperlink ref="M12" r:id="rId7" display="https://avtomaster66.ru/catalog/grunty_1/grunt_emal_mister_hammer_hardmax_korroed_ral_7040_okonnyy_seryy_po_rzhavchine_1l_0_9kg_kvil/"/>
    <hyperlink ref="G13" r:id="rId8" display="https://avtomaster66.ru/catalog/grunty_1/grunt_emal_mister_hammer_hardmax_korroed_ral_5015_goluboy_po_rzhavchine_1l_0_9kg_kvil_/"/>
    <hyperlink ref="J13" r:id="rId9" display="https://www.chipdip.ru/product0/8008857921"/>
    <hyperlink ref="M13" r:id="rId10" location="searchQuery=Грунт-эмаль+по+ржавчине+HardMax+Корроед+RAL+5015+голубой&amp;searchType=srp" display="https://novorossiysk.vseinstrumenti.ru/product/grunt-emal-po-rzhavchine-hardmax-korroed-ral-5015-goluboj-banka-0-9-kg-1-sht-4690417077977-1853240/#searchQuery=Грунт-эмаль+по+ржавчине+HardMax+Корроед+RAL+5015+голубой&amp;searchType=srp"/>
    <hyperlink ref="AC13" r:id="rId11" display="https://mstroy.ru/catalog/lakokrasochnye_materialy/emali/emali_po_rzhavchine_kvil/grunt_emal_gladkaya/grunt_emal_gladkaya_korroed_po_rzhavchine_ral5005_siniy_1_9kg/?ysclid=lr95vr8m1h18883673"/>
    <hyperlink ref="AF13" r:id="rId12" display="https://ptcpro.ru/catalog/grunt_emal_po_rzhavchine/9278/?ysclid=lr95vcrrtb830438952"/>
    <hyperlink ref="AI13" r:id="rId13" display="https://tulasnab.ru/grunt-emal-korroed-mister-hardmax-ral-5005-sinij-po-rgavchine-19kg-kvil"/>
    <hyperlink ref="G14" r:id="rId14" display="https://www.chipdip.ru/product0/8018241708?ysclid=lnnc3szz4c293021830"/>
    <hyperlink ref="J14" r:id="rId15" display="https://avtomaster66.ru/catalog/grunty_1/grunt_emal_mister_hammer_hardmax_korroed_ral_3011_krasno_korichnevaya_po_rzhavchine_1l_0_9kg_kvil/?ysclid=lnnc6qp3ku546632107"/>
    <hyperlink ref="M14" r:id="rId16" location="searchQuery=Грунт-эмаль+по+ржавчине+HardMax+Корроед+красный&amp;searchType=srp" display="https://novorossiysk.vseinstrumenti.ru/product/grunt-emal-po-rzhavchine-hardmax-korroed-ral-3011-krasno-korichnevyj-banka-0-9-kg-1-sht-4690417071241-1853225/#searchQuery=Грунт-эмаль+по+ржавчине+HardMax+Корроед+красный&amp;searchType=srp"/>
    <hyperlink ref="AC14" r:id="rId17" display="https://ptcpro.ru/catalog/grunt_emal_po_rzhavchine/9277/?ysclid=lr974d4cvw826429706"/>
    <hyperlink ref="AF14" r:id="rId18" display="https://www.vseinstrumenti.ru/product/grunt-emal-po-rzhavchine-hardmax-korroed-ral-3011-krasno-korichnevyj-banka-1-9-kg-1-sht-4690417071258-1853226/?ysclid=lr970b2cvx643770471"/>
    <hyperlink ref="AI14" r:id="rId19" display="https://www.chipdip.ru/product0/8018241705"/>
    <hyperlink ref="G15" r:id="rId20" display="https://www.kirelis.ru/catalog/kolca/vtylki-myvp/id_30848/"/>
    <hyperlink ref="M15" r:id="rId21" display="https://antisplash.ru/koltso-uprugoe-muvp-k3-35kh18kh9kh4-5"/>
    <hyperlink ref="AC15" r:id="rId22" display="https://rezina74.ru/catalog/uplotnitelnyye-koltsa/koltsa-i-vtulki-muvp/103553/?ysclid=lr98kh57eb461942727"/>
    <hyperlink ref="AF15" r:id="rId23" display="https://antisplash.ru/koltso-uprugoe-muvp-k3-35kh18kh9kh4-5?yclid=4043379713605631999"/>
    <hyperlink ref="AI15" r:id="rId24" display="https://www.kirelis.ru/catalog/kolca/vtylki-myvp/id_30848/?ysclid=lr98k0o2hp926239490"/>
    <hyperlink ref="G16" r:id="rId25" display="https://aquacentr18.ru/catalog/zapornaya_armatura/kran_sharovyy_du15_gg_babochka_pro_aqua/"/>
    <hyperlink ref="J16" r:id="rId26" display="https://stmgroup.ru/goods/kran-sarovyj-vn-vn-12-bab-pro-aqua-fwb63-f15-f15x?ysclid=lnn0hvtj5u790161172"/>
    <hyperlink ref="M16" r:id="rId27" display="https://www.etm.ru/cat/nn/6219190?ysclid=lnn0i717kf57925310&amp;city=77"/>
    <hyperlink ref="G17" r:id="rId28" display="https://www.etm.ru/cat/nn/2386322?ysclid=lnn17vsbvg856756019&amp;city=77"/>
    <hyperlink ref="J17" r:id="rId29" display="https://novorossiysk.vseinstrumenti.ru/product/sharovoj-polnoprohodnoj-kran-pro-aqua-v-v-ruchka-rychag-1-fwl51-f25-f25x-978114/?ysclid=lnn119nu9u716721344"/>
    <hyperlink ref="M17" r:id="rId30" display="https://www.teremonline.ru/catalog/inzhenernaya-santekhnika/zapornoreguliruyushchaya-armatura/1673_krany-sharovye/pro-aqua-fwl51f25f25x-pro-aqua-d-1-kran-sharovoy-polnoprokhodnoy-ruchkarychag-vv/?ysclid=lnn11fl0aw223348086"/>
    <hyperlink ref="G18" r:id="rId31" display="https://www.proaqua.pro/catalog/armatura/sharovye-krany/sharovye-krany-spetsialnogo-naznacheniya/kran-uglovoy-s-160-patrubkom-dlya-shlanga-ruchka-rychag39/?ysclid=lnn1iukr2j945232635"/>
    <hyperlink ref="J18" r:id="rId32" display="https://www.etm.ru/cat/nn/7406373?ysclid=lnn1j0vvah650562446&amp;city=77"/>
    <hyperlink ref="M18" r:id="rId33" display="https://www.teremonline.ru/catalog/inzhenernaya-santekhnika/zapornoreguliruyushchaya-armatura/1673_krany-sharovye/pro-aqua-ewl55m15x-pro-aqua-d-12-kran-uglovoy-s-patrubkom-dlya-shlanga-ruchkarychag-n/?ysclid=lnn1ixv7ug729964205"/>
    <hyperlink ref="G19" r:id="rId34" display="https://www.proaqua.pro/catalog/armatura/sharovye-krany/sharovye-krany-spetsialnogo-naznacheniya/kran-uglovoy-s-160-patrubkom-dlya-shlanga-ruchka-rychag39/?ysclid=lnn1iukr2j945232635"/>
    <hyperlink ref="J19" r:id="rId35" display="https://www.etm.ru/cat/nn/6817682"/>
    <hyperlink ref="M19" r:id="rId36" display="https://www.teremonline.ru/catalog/inzhenernaya-santekhnika/zapornoreguliruyushchaya-armatura/1673_krany-sharovye/pro-aqua-ewl55m20x-pro-aqua-d-34-kran-uglovoy-s-patrubkom-dlya-shlanga-ruchkarychag-n/"/>
    <hyperlink ref="AC20" r:id="rId37" display="https://snabinstrument.ru/catalog/abrazivnyy_instrument/izdeliya_iz_shlifshkurki/krugi_shlifovalnye/krugi_lepestkovye_tortsevye/krug_lepestkovyy_tortsevoy_klt2_125kh22_40n_r40_kk10khw_tu_3980_006_00223332_2006_baz/?ysclid=lra8ac92of558038666"/>
    <hyperlink ref="AF20" r:id="rId38" display="https://svarog-tk.ru/goods/abrasives/29/3321/?product=3321"/>
    <hyperlink ref="AI20" r:id="rId39" display="https://www.vseinstrumenti.ru/product/krug-lepestkovyj-tortsevoj-125x22-2-mm-p40-gigant-grf-40-1492522/?ysclid=lra88n68wk527561771"/>
    <hyperlink ref="G21" r:id="rId40" display="https://ru.lukoil-shop.com/catalog/legkovye_avtomobili/motornye_masla/maslo_motornoe_lukoyl_super_15w_40_sg_cd/?ysclid=lozhj2wyln789992910"/>
    <hyperlink ref="J21" r:id="rId41" display="https://www.vseinstrumenti.ru/product/motornoe-maslo-lukojl-avangard-sae-15w-40-api-cf-4-sg-5-l-19309-4825129/"/>
    <hyperlink ref="M21" r:id="rId42" display="https://baza.drom.ru/vladivostok/chemistry/motoroil/lukojl-avangard-ultra-m3-sae-15w40-api-ci-4-sl-105001880.html"/>
    <hyperlink ref="AC21" r:id="rId43" display="https://megamarket.ru/catalog/details/maslo-motornoe-lukoil-19195-100001150034/?ysclid=lra95z7lkr929975457"/>
    <hyperlink ref="AF21" r:id="rId44" display="https://www.vseinstrumenti.ru/product/motornoe-maslo-lukojl-super-sae-15w-40-api-sg-cd-4-l-19195-3059288/?ysclid=lra8x7rpr92387993"/>
    <hyperlink ref="AI21" r:id="rId45" display="https://ru.lukoil-shop.com/catalog/legkovye_avtomobili/motornye_masla/maslo_motornoe_lukoyl_super_15w_40_sg_cd/?ysclid=lra8x2yo4t690392950"/>
    <hyperlink ref="M22" r:id="rId46" display="https://vodaiteplo-online.ru/catalog/vodonagrevatel_thermex_drift_10_o/"/>
    <hyperlink ref="AF22" r:id="rId47" display="https://vodaiteplo-online.ru/catalog/vodonagrevatel_thermex_drift_10_o/?yclid=2242940148256866303"/>
    <hyperlink ref="G23" r:id="rId48" display="https://shsl.ru/smesitel-dlya-vanny-s-dushem-psm-profsan-psm-150-k80-standart-b-tip-sm-vudrnshlr/?ysclid=loznv22ugh312817747"/>
    <hyperlink ref="J23" r:id="rId49" display="https://yaropt24.ru/product/smesitel-dlya-vanny-sm-vudrnshla-ks-63007263-rossiya-kazan-gost-25809-96/"/>
    <hyperlink ref="M23" r:id="rId50" display="https://www.vseinstrumenti.ru/product/smesitel-dlya-vanny-s-dushem-profsan-psm-tip-sm-vudrnshlr-psm-150-89-1651200/?ysclid=loznto0gsg531057395"/>
    <hyperlink ref="AC23" r:id="rId51" display="https://snabsan.ru/Smesitel_dlya_vanny_s_dushem_PSM-PROFSAN_PSM-150-K89_STANDART-B_tip_Sm-VUDRNShlr/?ysclid=lrabpxo517806531528"/>
    <hyperlink ref="AF23" r:id="rId52" display="https://shsl.ru/smesitel-dlya-vanny-s-dushem-psm-profsan-psm-150-k80-standart-b-tip-sm-vudrnshlr/?ysclid=lrabm7iupc681723541"/>
    <hyperlink ref="AI23" r:id="rId53" display="https://www.vseinstrumenti.ru/product/smesitel-dlya-vanny-s-dushem-profsan-psm-tip-sm-vudrnshlr-psm-150-89-1651200/?ysclid=lrabew9rrs543056329"/>
    <hyperlink ref="AC25" r:id="rId54" display="https://shsl.ru/smesitel-dlya-rakoviny-psm-profsan-psm-740-008-plyus-tip-sm-umotsba/?ysclid=lrad4pfspa191109063"/>
    <hyperlink ref="AF25" r:id="rId55" display="https://market.yandex.ru/product--profsan-psm-smesitel-dlia-rakoviny-seriia-komplektatsiia-tip-gost-sm-umotsba-psm-104-5/1446274854?sku=101457051894&amp;do-waremd5=MN4R_cxAyC16qpqPK8PM2A&amp;uniqueId=923915"/>
    <hyperlink ref="AI25" r:id="rId56" display="https://www.vseinstrumenti.ru/product/smesitel-dlya-rakoviny-profsan-psm-tip-gost-sm-umotsba-psm-759-044-2191972/?ysclid=lrad3eadg2536433745"/>
    <hyperlink ref="G26" r:id="rId57" display="https://opensea.ru/compressor-a25067.htm?ysclid=lozru3t0d0163429978"/>
    <hyperlink ref="J26" r:id="rId58" display="https://stardive.ru/shop/detailed_layout/id/1094"/>
    <hyperlink ref="M26" r:id="rId59" display="https://shop-compressor.ru/shop/detailed_layout/id/2088"/>
    <hyperlink ref="AC26" r:id="rId60" display="https://shop-compressor.ru/shop/detailed_layout/id/2088"/>
    <hyperlink ref="AF26" r:id="rId61" display="https://opensea.ru/compressor-a25067.htm?ysclid=lozru3t0d0163429978"/>
    <hyperlink ref="AI26" r:id="rId62" display="https://stardive.ru/shop/detailed_layout/id/1094"/>
    <hyperlink ref="G27" r:id="rId63" display="https://scuba-shop.ru/shop/tov/2000/kartridzh-fil-tra-bauer-p41-co-067224.html"/>
    <hyperlink ref="J27" r:id="rId64" display="https://shop-compressor.ru/shop/detailed_layout/id/2087"/>
    <hyperlink ref="M27" r:id="rId65" display="https://stardive.ru/shop/detailed_layout/id/1093"/>
    <hyperlink ref="AC27" r:id="rId66" display="https://scuba-shop.ru/shop/tov/2000/kartridzh-fil-tra-bauer-p41-co-067224.html"/>
    <hyperlink ref="AF27" r:id="rId67" display="https://shop-compressor.ru/shop/detailed_layout/id/2087"/>
    <hyperlink ref="AI27" r:id="rId68" display="https://stardive.ru/shop/detailed_layout/id/1093"/>
    <hyperlink ref="G28" r:id="rId69" display="https://www.etm.ru/cat/nn/9413754"/>
    <hyperlink ref="J28" r:id="rId70" display="https://www.bigms.ru/catalog/product/mufta_soedinitelnaya_ravnoprokhodnaya_16_dlya_trub_iz_sshitogo_polietilena_tece_teceflex_latun_76601"/>
    <hyperlink ref="M28" r:id="rId71" display="https://www.santexbaza.ru/truby-iz-sshitogo-polietilena-i-fitingi-uponor/fitingi-dlya-trub-iz-sshitogo-polietilena-pe-xa-uponor/mufta-soedinitelnaya-uponor/mufta-soedinitelnaya-16-uponor/?ysclid=lozsft4qsl564589963"/>
    <hyperlink ref="J30" r:id="rId72" display="https://www.etm.ru/cat/nn/7034263"/>
    <hyperlink ref="G32" r:id="rId73" display="https://www.vseinstrumenti.ru/product/ugolok-soedinitelnyj-16-mm-1-2-tsanga-shtutser-dlya-truboprovoda-zubr-51409-16-1-2-231878/"/>
    <hyperlink ref="J32" r:id="rId74" display="https://exist.ru/Catalog/Goods/36/1025/AB70F01A"/>
    <hyperlink ref="M32" r:id="rId75" display="http://www.tovarpost.ru/web/tovarpost.asp?action=tovpod&amp;elem=5966763"/>
    <hyperlink ref="G33" r:id="rId76" display="https://www.elektro.ru/product/mufta_soedinitelnaya_stm-20_3_4_fortisflex_2/"/>
    <hyperlink ref="J33" r:id="rId77" display="https://www.chipdip.ru/product0/8010128096"/>
    <hyperlink ref="M33" r:id="rId78" display="https://www.etm.ru/cat/nn/6032007?city=77"/>
    <hyperlink ref="G34" r:id="rId79" display="https://valtec.ru/catalog/sistemy_metallopolimernyh_i_polimernyh_truboprovodov/obzhimnye_fitingi/fiting_objimnoj_trojnik_s_perehodom_na_narujnuyu_rezbu_vtm333n.html"/>
    <hyperlink ref="J34" r:id="rId80" display="https://tdsayany.ru/catalogue/show/troynik-obzhimnoy-s-perehodom-na-nar-r/"/>
    <hyperlink ref="M34" r:id="rId81" display="https://www.bigam.ru/product/valtec-1083844/"/>
    <hyperlink ref="G35" r:id="rId82" display="https://fwater.ru/catalog/fitingi_dlya_trub/fitingi_obzhimnye_dlya_trub_metalloplastikovykh_/valtec_3/troynik_s_perekhodom_na_naruzhnuyu_rezbu_20_mm_kh_1_2_valtec/"/>
    <hyperlink ref="J35" r:id="rId83" display="https://www.termokit.ru/product/fiting_obzhimnoy_troynik_s_perekhodom_na_naruzhnuyu_rezbu_valtec_20_x_1_2.htm"/>
    <hyperlink ref="M35" r:id="rId84" display="https://aksis63.ru/catalog/metalloplastikovye_truby_i_fitingi/vtm_333_troynik_obzhimnoy_s_perekhodom_na_naruzhnuyu_rezbu_20_1_2_20_ts_nar_ts/"/>
    <hyperlink ref="G36" r:id="rId85" display="https://www.tim-ru.ru/products/349526399-press_fiting_ugolok_nikelirovanny_20_20_f_l2020n"/>
    <hyperlink ref="J36" r:id="rId86" location="characteristics" display="https://www.vseinstrumenti.ru/product/ugolok-aqualink-perehodnoj-1-2x3-4-vn-vn-tsena-za-upakovku-10-sht-art-2560-1746361/#characteristics"/>
    <hyperlink ref="M36" r:id="rId87" display="https://dn.ru/polietilenovye-truby-i-fitingi/ugolki/rtp/ugolok-axi-vr/dn20-1-2"/>
    <hyperlink ref="G37" r:id="rId88" display="https://tim-com.ru/katalog-tim/press-fiting-ugolok-c320---1-2-vnutrennyaya-c320-mm"/>
    <hyperlink ref="J37" r:id="rId89" display="https://promportal.su/goods/44188258/press-fiting-ugolok-nikelirovanniy-20-20-f-l2020n.htm"/>
    <hyperlink ref="M37" r:id="rId90" display="https://tim-rif.ru/products/press-fiting-ugolok-nikelirovannyj-f-20x20-tim-f-l2020n"/>
    <hyperlink ref="G38" r:id="rId91" location="searchQuery=Подшипник+308&amp;searchType=srp" display="https://novorossiysk.vseinstrumenti.ru/product/podshipnik-cnic-uzel-ucp308-podshipnik-uc308-v-arochnom-korpuse-65231-2042508/#searchQuery=Подшипник+308&amp;searchType=srp"/>
    <hyperlink ref="J38" r:id="rId92" display="https://new.optorg.ru/catalog/avtozapchasti/industrialnye_podshipniki/podshipniki/238505/"/>
    <hyperlink ref="M38" r:id="rId93" display="https://bearingstore.ru/catalog/podshipniki_podshipnikovye_uzly_i_detali/podshipnikovye_uzly_korpusa_i_komplektuyushchie/podshipnikovye_uzly_i_komplektuyushchie_osnovnogo_primeneniya/72074/?ysclid=lnn5dbbf7v216585646"/>
    <hyperlink ref="G39" r:id="rId94" display="https://fetparts.ru/products/AQUALINK/02358.html"/>
    <hyperlink ref="J39" r:id="rId95" display="https://goodmag.ru/product/aqualine-podvodka-gibkaya-dlya-vody-s-nak-gaykoy-latun-v-stalnoy-opletke-1-2-400-sm-vn-nar-2358/"/>
    <hyperlink ref="M39" r:id="rId96" display="https://arsenal007.ru/catalog/khoztovary/santekhnika/podvodka/aqualine-podvodka-gibkaya-dlya-vodyi-s-nak-gaykoy-latun-v-stalnoy-opletke-1-2-400-sm--vn-nar-2358-art-719297/"/>
    <hyperlink ref="G40" r:id="rId97" display="https://www.kraska-ekb.ru/goods/81268106-grunt_emal_antikorroziynaya_dv_106"/>
    <hyperlink ref="J40" r:id="rId98" display="https://bizorg.su/grunt-emal-r/p27961380-gruntemal-po-rzhavchine-dv106-tsveto"/>
    <hyperlink ref="M40" r:id="rId99" display="https://krasnodar.pulscen.ru/products/grunt_emal_antikorroziynaya_dv_106_81268106"/>
    <hyperlink ref="AC40" r:id="rId100" display="https://bizorg.su/grunt-emal-r/p27961380-gruntemal-po-rzhavchine-dv106-tsveto"/>
    <hyperlink ref="AF40" r:id="rId101" display="https://www.kraska-ekb.ru/goods/81268106-grunt_emal_antikorroziynaya_dv_106"/>
    <hyperlink ref="AI40" r:id="rId102" display="https://krasnodar.pulscen.ru/products/grunt_emal_antikorroziynaya_dv_106_81268106"/>
    <hyperlink ref="G41" r:id="rId103" display="https://www.kraska-ekb.ru/goods/81268106-grunt_emal_antikorroziynaya_dv_106"/>
    <hyperlink ref="J41" r:id="rId104" display="https://bizorg.su/grunt-emal-r/p27961380-gruntemal-po-rzhavchine-dv106-tsveto"/>
    <hyperlink ref="M41" r:id="rId105" display="https://krasnodar.pulscen.ru/products/grunt_emal_antikorroziynaya_dv_106_81268106"/>
    <hyperlink ref="AC41" r:id="rId106" display="https://bizorg.su/grunt-emal-r/p27961380-gruntemal-po-rzhavchine-dv106-tsveto"/>
    <hyperlink ref="AF41" r:id="rId107" display="https://www.kraska-ekb.ru/goods/81268106-grunt_emal_antikorroziynaya_dv_107"/>
    <hyperlink ref="AI41" r:id="rId108" display="https://krasnodar.pulscen.ru/products/grunt_emal_antikorroziynaya_dv_106_81268107"/>
    <hyperlink ref="J42" r:id="rId109" display="https://4mycar.ru/parts/Sakura/EF51040"/>
    <hyperlink ref="AC42" r:id="rId110" display="https://stalfilters.ru/filtr-toplivnyy-st20908-150-1r0793-26560163-ef51040-1r1803/?ysclid=lrak10zrwq777187621"/>
    <hyperlink ref="AF42" r:id="rId111" display="https://stal.market/filtr-toplivnyy-st20908-150-1r0793-26560163-ef51040-1r1803/?ysclid=lrajwv9zs3971250078"/>
    <hyperlink ref="AI42" r:id="rId112" display="https://mts124.ru/product/filtr-toplivnyy-st20908-1-50-1r0793-26560163-ef51040-1r1803-58172/"/>
    <hyperlink ref="AC43" r:id="rId113" display="https://promintel.com/products/ff167a-filtr-kartridzh-toplivnyy-fleetguard?ysclid=lrakl1m7ml123791948"/>
    <hyperlink ref="AF43" r:id="rId114" display="https://euroauto.ru/firms/fleetguard/ff167a/?ysclid=lrakia4gtm380241399"/>
    <hyperlink ref="AI43" r:id="rId115" display="https://maslomarket.com/catalog/filters/the-fuel-filters/filtr-toplivnyy-fleetguard-ff167a/?ysclid=lrakdq5vt6532307090"/>
    <hyperlink ref="J44" r:id="rId116" display="https://gik43.ru/filtr-toplivnyy-goodwill-fg1050eco-605013-ef-5102-26560201-sk3380"/>
    <hyperlink ref="M44" r:id="rId117" display="https://baza.drom.ru/krasnoyarsk/sell_spare_parts/filtr-toplivnyj-fg1050eco-fg1050eco-g13022100678.html"/>
    <hyperlink ref="AC44" r:id="rId118" display="https://impart.online/catalog/fg1050eco-filtr-toplivnyy-goodwill-1qqxv1d/?ysclid=lral5t13gt289495644"/>
    <hyperlink ref="AF44" r:id="rId119" display="https://gik43.ru/filtr-toplivnyy-goodwill-fg1050eco-605013-ef-5102-26560201-sk3380"/>
    <hyperlink ref="AI44" r:id="rId120" display="https://ugk174.ru/catalog/filtry/filtr_toplivnyj_goodwill_fg1050eco_605013_ef_5102_26560201_sk3380/?ysclid=lrakro7vk4945263656"/>
    <hyperlink ref="G45" r:id="rId121" display="https://rs24.ru/product/2313919"/>
    <hyperlink ref="J45" r:id="rId122" display="https://www.chipdip.ru/product0/8007133241"/>
    <hyperlink ref="M45" r:id="rId123" display="https://dc-electro.ru/catalog/products/vyklyuchatel-avtomaticheskiy-modulnyy-3p-d-40a-c60n-sche-m9f12340/"/>
    <hyperlink ref="G46" r:id="rId124" display="https://autopiter.ru/goods/614500/sintec/id53355745"/>
    <hyperlink ref="J46" r:id="rId125" location="?details_block=reviews" display="https://megamarket.ru/catalog/details/antifriz-sintec-krasno-oranzhevyy-gotovyy-antifriz-5kg-614500-100022894432/otzyvy/#?details_block=reviews"/>
    <hyperlink ref="M46" r:id="rId126" display="https://avtospectr.com/market/sintec-antifriz-lux-g12-krasnyj-01l/"/>
    <hyperlink ref="AC46" r:id="rId127" display="https://megamarket.ru/catalog/details/antifriz-sintec-krasno-oranzhevyy-gotovyy-antifriz-10kg-756665-100022894461/?ysclid=lramk3bn9y757071591"/>
    <hyperlink ref="AF46" r:id="rId128" display="https://www.wildberries.ru/catalog/102878995/detail.aspx"/>
    <hyperlink ref="AI46" r:id="rId129" display="https://optorg.ru/catalog/avtomobilnye_tovary_shiny/avtohimiya/antifrizy_tosoly/161247/"/>
    <hyperlink ref="G47" r:id="rId130" display="https://www.magazin-krasok.com/polirovka/autokosmetika/motorhim/11abr-abro.html"/>
    <hyperlink ref="J47" r:id="rId131" display="https://avsila.ru/catalog/masla-avtokosmetika-avtokhimiya/germetiki/germetik-abro-silikonovyy-krasnyy-85-gr-original-11ab-r/?ysclid=lnna30tmkz989350706"/>
    <hyperlink ref="M47" r:id="rId132" display="https://www.avtoall.ru/germetik_krasnyiy_silikonovyiy_vysokotemperaturnyiy_85g_abro-481831/?ysclid=lnna2yqqvs230393224#"/>
    <hyperlink ref="G48" r:id="rId133" display="https://www.manometer-spb.ru/catalog/manometry/tekhnicheskie/3078/"/>
    <hyperlink ref="J48" r:id="rId134" display="https://manometry.ru/mp3-uf"/>
    <hyperlink ref="M48" r:id="rId135" display="https://mera-tek.ru/catalog/manometry/mp3-uf-1-mpa-kl-1-5-m20kh1-5/"/>
    <hyperlink ref="AC48" r:id="rId136" display="https://tdatm.ru/catalog/kontrolno_izmeritelnye_pribory_kipia/sredstva_izmereniya_davleniya/manometry/manometr_mp3_uf_0_16_mpa_kt_1_5_d_100_ip40_m20_1_5_rsh.html?ysclid=lrehxw9wvk944054918"/>
    <hyperlink ref="AF48" r:id="rId137" display="https://www.rustenergo.ru/catalog/pribory-dlya-izmereniya-neelektricheskikh-velichin/manometry-tekhnicheskie/mp3-uf/mp3-uf-0-16-0-mpa-kl-t-1-5-manometr-/?ysclid=lramwgbykb590014002"/>
    <hyperlink ref="AI48" r:id="rId138" display="https://krasnodar.mera-tek.ru/catalog/manometry/mp3-uf-16-kgs-sm2-kl-1-5-m20kh1-5/?ysclid=lrei328o57511096383"/>
    <hyperlink ref="G49" r:id="rId139" display="https://nevinnomisk.specarmatura.ru/catalog/manometry_tekhnicheskie_fiztekh/manometr_mp3_uf_0_1_6_atm_ip40_m20_1_5_rsh/"/>
    <hyperlink ref="J49" r:id="rId140" display="https://sale-instrument.ru/product/manometr-fizteh-mp3-uf-isp-eko-0-1-6-mpa-kt-1-5-d-100-ip40-g1-2-rsh-1754923532.html"/>
    <hyperlink ref="M49" r:id="rId141" display="https://kupi-kip.ru/product/manometr-tehnicheskij-fizteh-mp3-uf-v-ispolnenii-eko/"/>
    <hyperlink ref="AC49" r:id="rId142" display="https://www.kipa18.ru/goods/106412975-manometr_mp3_uf_0_1_6_mpa_kt_1_5_d_100_ip40_m20_1_5_rsh"/>
    <hyperlink ref="AF49" r:id="rId143" display="https://intersens.ru/product/manometer-mp3-uf-isp-eko-0-1-6-mpa-kt-1-5-d-100-ip40-m20-1-5-rsh/?ysclid=lrej33wn3b834774274"/>
    <hyperlink ref="AI49" r:id="rId144" display="https://tdatm.ru/catalog/kontrolno_izmeritelnye_pribory_kipia/sredstva_izmereniya_davleniya/manometry/manometr_mp3_uf_isp_eko_0_1_6_mpa_kt_1_5_d_100_ip40_m20_1_5_rsh_gp.html"/>
    <hyperlink ref="G50" r:id="rId145" display="https://nevinnomisk.specarmatura.ru/catalog/manometry_tekhnicheskie_fiztekh/manometr_mp3_uf_0_1_6_atm_ip40_m20_1_5_rsh/"/>
    <hyperlink ref="J50" r:id="rId146" display="https://sale-instrument.ru/product/manometr-fizteh-mp3-uf-isp-eko-0-1-6-mpa-kt-1-5-d-100-ip40-g1-2-rsh-1754923532.html"/>
    <hyperlink ref="M50" r:id="rId147" display="https://kupi-kip.ru/product/manometr-tehnicheskij-fizteh-mp3-uf-v-ispolnenii-eko/"/>
    <hyperlink ref="AC50" r:id="rId148" display="https://www.kipa18.ru/goods/106412975-manometr_mp3_uf_0_1_6_mpa_kt_1_5_d_100_ip40_m20_1_5_rsh"/>
    <hyperlink ref="AF50" r:id="rId149" display="https://intersens.ru/product/manometer-mp3-uf-isp-eko-0-1-6-mpa-kt-1-5-d-100-ip40-m20-1-5-rsh/?ysclid=lrej33wn3b834774275"/>
    <hyperlink ref="AI50" r:id="rId150" display="https://tdatm.ru/catalog/kontrolno_izmeritelnye_pribory_kipia/sredstva_izmereniya_davleniya/manometry/manometr_mp3_uf_isp_eko_0_1_6_mpa_kt_1_5_d_100_ip40_m20_1_5_rsh_gp.html"/>
    <hyperlink ref="G51" r:id="rId151" display="https://vsemanometri.ru/catalog/ekonom_variant/manometry_tekhnicheskie_mp3_uf_eko/"/>
    <hyperlink ref="J51" r:id="rId152" display="https://www.manometer-spb.ru/catalog/manometry/tekhnicheskie/2770/"/>
    <hyperlink ref="M51" r:id="rId153" display="https://lab-oborudovanie.ru/catalog/manometrt-mp3-u-eko-0-2-5-mpa/"/>
    <hyperlink ref="AC51" r:id="rId154" display="https://pritok.info/shop/goods/manometr-mp3-uf-isp-eko-0-25-mpa-rsh--kt15---d100---IP40---m20-15--1098198185?ysclid=lrejleyr5d630555802"/>
    <hyperlink ref="AF51" r:id="rId155" display="https://tdatm.ru/catalog/kontrolno_izmeritelnye_pribory_kipia/sredstva_izmereniya_davleniya/manometry/manometr_mp3_uf_isp_eko_0_2_5_mpa_kt_1_5_d_100_ip40_m20_1_5_rsh.html"/>
    <hyperlink ref="G52" r:id="rId156" display="https://tdatm.ru/catalog/kontrolno_izmeritelnye_pribory_kipia/sredstva_izmereniya_davleniya/manometry/manometr_mp3_uf_isp_eko_0_1_mpa_kt_1_5_d_100_ip40_g1_2_rsh.html"/>
    <hyperlink ref="J52" r:id="rId157" display="https://vsemanometri.ru/catalog/ekonom_variant/manometry_tekhnicheskie_mp3_uf_eko/"/>
    <hyperlink ref="M52" r:id="rId158" display="https://www.manometer-spb.ru/catalog/manometry/tekhnicheskie/2766/"/>
    <hyperlink ref="AC52" r:id="rId159" display="https://afkmarket.ru/catalog/pribory-ucheta-i-kipia/manometry/30964/"/>
    <hyperlink ref="AF52" r:id="rId160" display="https://lab-oborudovanie.ru/catalog/manometrt-mp3-uf-eko-0-4-mpa/"/>
    <hyperlink ref="AI52" r:id="rId161" display="https://www.manometer-spb.ru/catalog/manometry/tekhnicheskie/2771/"/>
    <hyperlink ref="G53" r:id="rId162" display="https://lab-oborudovanie.ru/catalog/manometrt-mp3-uf-eko-0-1-6-mpa/"/>
    <hyperlink ref="J53" r:id="rId163" display="https://www.manometer-spb.ru/catalog/manometry/tekhnicheskie/2775/"/>
    <hyperlink ref="M53" r:id="rId164" display="https://vsemanometri.ru/catalog/ekonom_variant/manometry_tekhnicheskie_mp3_uf_eko/"/>
    <hyperlink ref="AC53" r:id="rId165" display="https://lab-oborudovanie.ru/catalog/manometrt-mp3-uf-eko-0-6-mpa/"/>
    <hyperlink ref="AF53" r:id="rId166" display="https://www.manometer-spb.ru/catalog/manometry/tekhnicheskie/2772/"/>
    <hyperlink ref="AI53" r:id="rId167" display="https://lab-oborudovanie.ru/catalog/manometrt-mp3-uf-eko-0-6-mpa/"/>
    <hyperlink ref="G54" r:id="rId168" display="https://manometry.ru/tm-320r"/>
    <hyperlink ref="J54" r:id="rId169" display="https://manocentr.ru/category/manometry/vibroustojchivye-manometry/vibroustojchivyj-manometr-tm-320r/"/>
    <hyperlink ref="M54" r:id="rId170" display="https://ingenerseti.ru/product/manometr_tm_320r_00_0_2_5_mra_m12_1_5_zapolnenie_silikon_radialnyy_rosma/"/>
    <hyperlink ref="AC54" r:id="rId171" display="https://manometr-rsc.ru/catalog/tm-320-0-2-5mpa-g-1-4-1-5/?ysclid=lrely9ti1g727016875"/>
    <hyperlink ref="AF54" r:id="rId172" display="https://dn.ru/kipia/manometry/radialnyi/rosma/tm-320r-do-10mpa/0-2-5mpa-m12-1-5?ysclid=lreludfknv105936068"/>
    <hyperlink ref="AI54" r:id="rId173" display="https://krasnodar.mera-tek.ru/catalog/manometry/tm-320r-00-0-0-25-mpa-m12kh1-5-1-5/?ysclid=lreltze8nn744889761"/>
    <hyperlink ref="G55" r:id="rId174" display="https://www.fiztech.ru/catalog/manometry/693/"/>
    <hyperlink ref="J55" r:id="rId175" display="https://afkmarket.ru/catalog/pribory-ucheta-i-kipia/manometry/29576/"/>
    <hyperlink ref="M55" r:id="rId176" display="https://lab-oborudovanie.ru/catalog/manometr-dm2010-isp-5-0-10-mpa/"/>
    <hyperlink ref="AC55" r:id="rId177" display="https://afkmarket.ru/catalog/pribory-ucheta-i-kipia/manometry/29589/"/>
    <hyperlink ref="AF55" r:id="rId178" display="https://msk.specarmatura.ru/catalog/manometry_elektrokontaktnye_fiztekh/manometr_dm2010f_isp_v_0_10_0_atm_ip40_m20kh1_5_rsh/"/>
    <hyperlink ref="AI55" r:id="rId179" display="https://lab-oborudovanie.ru/catalog/manometr-dm2010-isp-5-0-1-mpa/"/>
    <hyperlink ref="G56" r:id="rId180" display="https://nevinnomisk.specarmatura.ru/catalog/manometry_elektrokontaktnye_fiztekh/manometr_dm2010f_isp_v_0_10_0_atm_ip40_m20kh1_5_rsh/"/>
    <hyperlink ref="J56" r:id="rId181" display="https://afkmarket.ru/catalog/pribory-ucheta-i-kipia/manometry/29576/"/>
    <hyperlink ref="M56" r:id="rId182" display="https://www.manometer-spb.ru/catalog/manometry/elektrokontaktnye_ekm/6686/"/>
    <hyperlink ref="AC56" r:id="rId183" display="https://afkmarket.ru/catalog/pribory-ucheta-i-kipia/manometry/29594/"/>
    <hyperlink ref="AF56" r:id="rId184" display="https://msk.specarmatura.ru/catalog/manometry_elektrokontaktnye_fiztekh/manometr_dm2010f_isp_v_0_100_0_atm_ip40_m20kh1_5_rsh/"/>
    <hyperlink ref="AI56" r:id="rId185" display="https://lab-oborudovanie.ru/catalog/manometr-dm2010-isp-5-0-10-mpa/"/>
    <hyperlink ref="G57" r:id="rId186" display="https://nevinnomisk.specarmatura.ru/catalog/manometry_elektrokontaktnye_fiztekh/manometr_dm2010f_isp_v_0_1_6_atm_ip40_m20kh1_5_rsh/"/>
    <hyperlink ref="J57" r:id="rId187" display="https://pro-com.ru/catalog/instrument_i_sredstva_zashchity/instrument_pnevmaticheskiy_/prinadlezhnosti_dlya_pnevmoinstrumenta_/manometry/manometr_dm2010f_isp_v_0_16_mpa_kt_1_5_d_100_ip40_m20_1_5_rsh/"/>
    <hyperlink ref="M57" r:id="rId188" display="https://manometry.ru/dm2010f"/>
    <hyperlink ref="AC57" r:id="rId189" display="https://afkmarket.ru/catalog/pribory-ucheta-i-kipia/manometry/29598/"/>
    <hyperlink ref="AF57" r:id="rId190" display="https://msk.specarmatura.ru/catalog/manometry_elektrokontaktnye_fiztekh/manometr_dm2010f_isp_v_0_1_6_atm_ip40_m20kh1_5_rsh/"/>
    <hyperlink ref="AI57" r:id="rId191" location="char" display="https://lab-oborudovanie.ru/catalog/manometr-dm2010-isp-5-0-16-mpa/#char"/>
    <hyperlink ref="G58" r:id="rId192" display="https://nevinnomisk.specarmatura.ru/catalog/manometry_elektrokontaktnye_fiztekh/manometr_dm2010f_isp_v_0_1_6_atm_ip40_m20kh1_5_rsh/"/>
    <hyperlink ref="J58" r:id="rId193" display="https://mera-tek.ru/catalog/manometry/dm2010f-1-6-mpa-kl-1-5-isp-v-bez-flantsa/"/>
    <hyperlink ref="AC58" r:id="rId194" display="https://afkmarket.ru/catalog/pribory-ucheta-i-kipia/manometry/112560/"/>
    <hyperlink ref="AF58" r:id="rId195" display="https://tdatm.ru/catalog/kontrolno_izmeritelnye_pribory_kipia/sredstva_izmereniya_davleniya/manometry/manometr_dm2010f_isp_v_0_160_kpa_kt_1_5_d_100_ip40_m20_1_5_rsh.html"/>
    <hyperlink ref="AI58" r:id="rId196" display="https://lab-oborudovanie.ru/catalog/manometr-dm2010-isp-5-0-0-16-mpa/"/>
    <hyperlink ref="G59" r:id="rId197" display="https://manometry.ru/dm2010f"/>
    <hyperlink ref="J59" r:id="rId198" display="http://www.spec-arm.ru/goods/230265912-manometr_elektrokontaktny_dm2010f_isp_v_0_4_0_mpa_kt_1_5_d100_ip40_m20kh1_5_rsh"/>
    <hyperlink ref="M59" r:id="rId199" display="https://nevinnomisk.specarmatura.ru/catalog/manometry_elektrokontaktnye_fiztekh/manometr_dm2010f_isp_v_0_40_0_atm_ip40_m20kh1_5_rsh/"/>
    <hyperlink ref="AC59" r:id="rId200" display="https://afkmarket.ru/catalog/pribory-ucheta-i-kipia/manometry/29621/"/>
    <hyperlink ref="AF59" r:id="rId201" display="https://tdatm.ru/catalog/kontrolno_izmeritelnye_pribory_kipia/sredstva_izmereniya_davleniya/manometry/manometr_dm2010f_isp_v_0_4_kgs_sm2_kt_1_5_d_100_ip40_m20_1_5_rsh_fl.html"/>
    <hyperlink ref="AI59" r:id="rId202" display="https://msk.specarmatura.ru/catalog/manometry_elektrokontaktnye_fiztekh/manometr_dm2010f_isp_v_0_4_0_atm_ip40_m20kh1_5_rsh/"/>
    <hyperlink ref="G60" r:id="rId203" display="https://manometry.ru/dm2010f"/>
    <hyperlink ref="J60" r:id="rId204" display="https://tdatm.ru/catalog/kontrolno_izmeritelnye_pribory_kipia/sredstva_izmereniya_davleniya/manometry/manometr_dm2010f_isp_v_0_1_mpa_kt_1_5_d_100_ip40_m20_1_5_rsh.html"/>
    <hyperlink ref="M60" r:id="rId205" display="https://kupi-kip.ru/product/manometry-elektrokontaktnye-fizteh-dm2010f/"/>
    <hyperlink ref="AC60" r:id="rId206" display="https://afkmarket.ru/catalog/pribory-ucheta-i-kipia/manometry/29625/"/>
    <hyperlink ref="AF60" r:id="rId207" display="https://pritok.info/shop/goods/manometr-dm2010f-isp-V-0-40-mpa-rsh--kt15---d100---IP40---M20-15--1098119641?ysclid=lreo52mh8s737141788"/>
    <hyperlink ref="AI60" r:id="rId208" display="https://msk.specarmatura.ru/catalog/manometry_elektrokontaktnye_fiztekh/manometr_dm2010f_isp_v_0_40_0_atm_ip40_m20kh1_5_rsh/"/>
    <hyperlink ref="G61" r:id="rId209" display="https://nevinnomisk.specarmatura.ru/catalog/manometry_elektrokontaktnye_fiztekh/manometr_dm2010f_isp_v_0_6_0_atm_ip40_m20kh1_5_rsh/"/>
    <hyperlink ref="J61" r:id="rId210" display="https://www.manometer-spb.ru/catalog/manometry/elektrokontaktnye_ekm/6690/"/>
    <hyperlink ref="M61" r:id="rId211" display="https://manometry.ru/dm2010f"/>
    <hyperlink ref="AC61" r:id="rId212" display="https://pritok.info/shop/goods/manometr-dm2010f-isp-V-0-06-mpa-kt15-d100-IP40-M20-15-rsh-1098190449"/>
    <hyperlink ref="AF61" r:id="rId213" display="https://afkmarket.ru/catalog/pribory-ucheta-i-kipia/manometry/29634/"/>
    <hyperlink ref="AI61" r:id="rId214" display="https://msk.specarmatura.ru/catalog/manometry_elektrokontaktnye_fiztekh/manometr_dm2010f_isp_v_0_6_0_atm_ip40_m20kh1_5_rsh/"/>
    <hyperlink ref="G62" r:id="rId215" display="https://lab-oborudovanie.ru/catalog/manometr-dm2010-isp-5-0-60-mpa/"/>
    <hyperlink ref="J62" r:id="rId216" display="https://www.fiztech.ru/catalog/manometry/693/"/>
    <hyperlink ref="M62" r:id="rId217" display="https://www.manometer-spb.ru/catalog/manometry/elektrokontaktnye_ekm/6690/"/>
    <hyperlink ref="AC62" r:id="rId218" display="https://msk.specarmatura.ru/catalog/manometry_elektrokontaktnye_fiztekh/manometr_dm2010f_isp_v_0_60_0_atm_ip40_m20kh1_5_rsh/"/>
    <hyperlink ref="AF62" r:id="rId219" display="https://afkmarket.ru/catalog/pribory-ucheta-i-kipia/manometry/29637/"/>
    <hyperlink ref="AI62" r:id="rId220" display="https://lab-oborudovanie.ru/catalog/manometr-dm2010-isp-5-0-6-mpa/"/>
    <hyperlink ref="G63" r:id="rId221" display="https://knopka.org/catalog/kantselyarskie-tovary/pismennie-prinadlejnosti/markery/marker-kraska/marker-kraska_58073.html?ysclid=lnn3h6eba5631905189"/>
    <hyperlink ref="J63" r:id="rId222" display="https://kancnika.ru/catalog/pis-mennye-prinadlezhnosti/markery-flomastery/markery-spetsial-nye/Marker-kraska-BLACK-chernyy-4mm.html?ysclid=lnn3j2e0nt688273093"/>
    <hyperlink ref="AC63" r:id="rId223" display="https://www.officemag.ru/catalog/goods/151481/"/>
    <hyperlink ref="AF63" r:id="rId224" display="https://leroymerlin.ru/product/marker-kraska-munhwa-82386606/?ysclid=lreu2ptily276140315&amp;utm_referrer=https%3A%2F%2Fya.ru%2F"/>
    <hyperlink ref="AI63" r:id="rId225" display="https://stavropol.kuvalda.ru/catalog/7839/product-116121/?ysclid=lreu99hbxc361246411"/>
    <hyperlink ref="G64" r:id="rId226" display="https://www.vseinstrumenti.ru/product/maslo-compressor-s-synth-100-1-l-gazpromneft-253721871-1175782/otzyvy/"/>
    <hyperlink ref="J64" r:id="rId227" display="https://amertend.ru/gazpromneft-compressor-s-synth-100"/>
    <hyperlink ref="M64" r:id="rId228" display="https://piteroils.ru/catalog/industrialnye_smazochnye_materialy/kompressornye/gazprom_neft_8/26841/"/>
    <hyperlink ref="AC64" r:id="rId229" display="https://megamarket.ru/catalog/details/maslo-kompressornoe-gazpromneft-compressor-s-synth-100-1l-253721871-600005570435/?ysclid=lrey40ntaq13979534"/>
    <hyperlink ref="AF64" r:id="rId230" display="https://www.vseinstrumenti.ru/product/maslo-compressor-s-synth-100-1-l-gazpromneft-253721871-1175782/?ysclid=lrey3ssap859720018"/>
    <hyperlink ref="AI64" r:id="rId231" display="https://leroymerlin.ru/product/maslo-dlya-kompressora-gazpromneft-compres-s-synth-100-1-l-82680707/?ysclid=lrey1wlua4125993148&amp;utm_referrer=https%3A%2F%2Fya.ru%2F"/>
    <hyperlink ref="G65" r:id="rId232" display="https://www.autoopt.ru/catalog/733654-maslo_kompressornoe_compressor_s_synth_150_205l180kg_gazpromneft"/>
    <hyperlink ref="J65" r:id="rId233" display="https://amertend.ru/gazpromneft-compressor-s-synth-150"/>
    <hyperlink ref="M65" r:id="rId234" display="https://vils.ru/catalog/kompressornye_masla/gazpromneft_compressor_s_synth_150/?offer=41867"/>
    <hyperlink ref="AC65" r:id="rId235" display="https://oil-store.ru/masla-i-smazki/industrialnye-masla/kompressornye-masla/kompressornoe-maslo-gazpromneft-compressor-s-synth-150-205l/"/>
    <hyperlink ref="AF65" r:id="rId236" display="https://market.yandex.ru/product--kompressornoe-maslo-gazpromneft-compressor-s-synth-150-205-l/1928907666?sku=101918768244&amp;do-waremd5=dT5LuY8jISq6tDkeg-YAvQ&amp;uniqueId=14123210"/>
    <hyperlink ref="AI65" r:id="rId237" display="https://www.autoopt.ru/catalog/733654-maslo_kompressornoe_compressor_s_synth_150_205l180kg_gazpromneft?ysclid=lreykdnxqu664170247"/>
    <hyperlink ref="G66" r:id="rId238" display="https://ru.lukoil-shop.com/catalog/kommercheskiy_transport/motornye_masla/maslo_motornoe_lukoyl_avangard_mineralnoe_15w_40_api_cf_4_sg/"/>
    <hyperlink ref="J66" r:id="rId239" display="https://baza.drom.ru/ekaterinburg/chemistry/motoroil/maslo-motornoe-lukoil-avangard-extra-15w-40-cg-4-e5-mineralnoe-5-l-dlja-kommerch-tehniki-lukoil-1552367-g12763204629.html"/>
    <hyperlink ref="M66" r:id="rId240" display="https://www.arsenal-msk.ru/catalog/dlya-kommercheskogo-transporta/lukoyl-avangard-15w-40/"/>
    <hyperlink ref="AC66" r:id="rId241" display="https://maslenych.ru/shop/avtomasla/motornye_masla/40044/"/>
    <hyperlink ref="AI66" r:id="rId242" display="https://ru.lukoil-shop.com/catalog/kommercheskiy_transport/motornye_masla/maslo_motornoe_lukoyl_avangard_mineralnoe_15w_40_api_cf_4_sg/?ysclid=lrezh29s5i793370538"/>
    <hyperlink ref="G67" r:id="rId243" display="https://piteroils.ru/catalog/gruzovye_masla/otechestvennye_1/lukoyl_1/polusinteticheskie_18/13191/"/>
    <hyperlink ref="J67" r:id="rId244" display=" https://www.vsemasla.com/lukojl-avangard-ul-tra-10w-40-ci-4-sl/"/>
    <hyperlink ref="M67" r:id="rId245" display="https://hyperauto.ru/product/maslo-motornoe-lukoyl-avantgarde-ultra-10w40-polusinteticheskoe-api-sl-ci-4-acea-e7-jaso-dh-1-dlya-dizelnogo-dvigatelya-5l-art-19518-000017864/"/>
    <hyperlink ref="AF67" r:id="rId246" display="https://oil-store.ru/masla-i-smazki/motornye-masla/gruzovoj-transport/motornoe-maslo-lukojl-avangard-ultra-10w-40-50l/"/>
    <hyperlink ref="AI67" r:id="rId247" display="https://b2b.lukoil-shop.ru/product/lukoil_avantgarde_ultra_10w_40/"/>
    <hyperlink ref="G68" r:id="rId248" display="https://shop220.ru/kkm11-018-230-01-kontaktor-kmi-11811-18a-230v-as3-1nz-iek.htm"/>
    <hyperlink ref="J68" r:id="rId249" display="https://www.etm.ru/cat/nn/9751780?city=77"/>
    <hyperlink ref="M68" r:id="rId250" display="https://rs24.ru/product/30482"/>
    <hyperlink ref="AF68" r:id="rId251" display="https://www.elektro.ru/product/kontaktor_kmi-11811_18a_400v_as3_1nz_iek/?ysclid=lrfwyyu02871443555"/>
    <hyperlink ref="AI68" r:id="rId252" display="https://www.chipdip.ru/product0/8000856354"/>
    <hyperlink ref="G69" r:id="rId253" display="https://ledgoods.ru/ehlektrotekhnika/kontaktory/minikontaktory/kontaktor-kmi-22511-25a-230v-as3-1nz-kkm21-025-230-01-iek/"/>
    <hyperlink ref="J69" r:id="rId254" display="https://elevel.ru/shop/nizkovoltnoe-oborudovanie/kontaktory/iek-kontaktor-kmi-22511-25a-230v-as3-1nz/?ysclid=lnn3vbaxbe794611308"/>
    <hyperlink ref="M69" r:id="rId255" display="https://www.elektro.ru/product/kontaktor_kmi-22511_25a_230v_as3_1nz_iek/?ysclid=lnn3vd85mf333358050"/>
    <hyperlink ref="AC69" r:id="rId256" display="https://www.vseinstrumenti.ru/product/kontaktor-iek-kmi-22511-25a-220v-iek-kkm21-025-230-01-1172033/?ysclid=lrfx9rg2sq369511159"/>
    <hyperlink ref="G70" r:id="rId257" display="https://zipzap24.ru/drives-and-timing/remen-ventilyatora-k-kt-2sht-belt-art-2614b655"/>
    <hyperlink ref="J70" r:id="rId258" display="https://www.hited-shop.ru/product/remen-ventilyatora-belt-art2614b655"/>
    <hyperlink ref="M70" r:id="rId259" display="https://dg-trade.ru/catalog/zapchasti-dlya-dvigateley/zapchasti-perkins/remen-sistemy-okhlazhdeniya-perkins-2614b655/"/>
    <hyperlink ref="AC70" r:id="rId260" display="https://impart.online/catalog/2614b655-remen-k-kt-iz-2kh-sht-perkins-lupsls/?ysclid=lrfxr1ngz376048122"/>
    <hyperlink ref="G71" r:id="rId261" display="https://www.autoopt.ru/catalog/911424-remen_privodnoj_klinovoj_13h1075_contitech"/>
    <hyperlink ref="J71" r:id="rId262" location="/basket" display="https://avto-sistem.ru/baskets#/basket"/>
    <hyperlink ref="M71" r:id="rId263" display="https://autocode.ru/price/Contitech/AVX13X1075"/>
    <hyperlink ref="G72" r:id="rId264" display="https://www.tss.ru/catalog/zapchasti/zapasnye_chasti_dlya_dizelnykh_dvigateley/dvigateli_perkins/zapchasti_dlya_perkins_404_d_22g_ad_16_m18/remen_privoda_generatora_998_378_10000_66575_fg_wilson_004160/"/>
    <hyperlink ref="J72" r:id="rId265" display="https://trustenergo.ru/catalog/zapasnye-chasti-dlya-dizelnykh-dvigateley/tss/remen-privoda-generatora-998-378-10000-66575-fg-wilson/"/>
    <hyperlink ref="M72" r:id="rId266" display="https://www.rekon-russia.ru/catalog/detail/remen_privoda_generatora_998_378_10000_66575_fg_wilson/"/>
    <hyperlink ref="AC72" r:id="rId267" display="https://tss52.com/catalog/zapchasti/dlya-dizelnykh-dvigateley/perkins-dizel/perkins-404-d-22g-ad-16-m18/remen-privoda-generatora-998-378-10000-66575-fg-wilson/?ysclid=lrfykes390518290689"/>
    <hyperlink ref="G73" r:id="rId268" display="https://ati-auto.ru/catalog/rubena/88675/"/>
    <hyperlink ref="J73" r:id="rId269" display=" https://gettzap.ru/cart"/>
    <hyperlink ref="M73" r:id="rId270" location="/basket" display="https://jetauto39.ru/baskets#/basket"/>
    <hyperlink ref="G74" r:id="rId271" display="https://motorteile.ru/products/OPTIBELT/AVX13X1325TM.html"/>
    <hyperlink ref="J74" r:id="rId272" display="https://baza.drom.ru/barnaul/sell_spare_parts/remen-grm-contitech-avx13x1325-113231681.html"/>
    <hyperlink ref="M74" r:id="rId273" display="https://euroauto.ru/cart/"/>
    <hyperlink ref="G75" r:id="rId274" display="https://partsell.ru/zakaz"/>
    <hyperlink ref="J75" r:id="rId275" display=" https://www.tradicia-k.ru/catalog/remni-perkins/"/>
    <hyperlink ref="M75" r:id="rId276" display="https://impart.online/catalog/remen-ventilyatora-20000-12379-981-209-2614b655-2614b555-fg-wilson-n47b10/"/>
    <hyperlink ref="G76" r:id="rId277" display="https://fg-wilson.ru/product/filtr-vozdushnyy-elementair-filter-element-art-10000-51238"/>
    <hyperlink ref="J76" r:id="rId278" display="https://pecmall.ru/products/FG-WILSON/1000051238.html"/>
    <hyperlink ref="M76" r:id="rId279" display="https://zapchasti-generator.ru/catalog/zapchasti_i_raskhodnye_materialy/zapchasti-dlya-dvigateley/filtry_/vozdushnye/filtr_vozdushnyy_fg_willson_perkins_901_048_26510342/?utm_source=yd_context&amp;utm_medium=cpc&amp;utm_campaign=84814378&amp;utm_content=5152750150-13689630524-none-0&amp;utm_term=43773568027--none-goal_0&amp;yclid=15831746511027306495"/>
    <hyperlink ref="G77" r:id="rId280" display="https://fg-wilson.ru/product/filtr-vozdushnyy-901-046-26510362-915-660-art-901-046"/>
    <hyperlink ref="J77" r:id="rId281" display="https://pecmall.ru/products/FG-WILSON/901046.html"/>
    <hyperlink ref="M77" r:id="rId282" display="https://agroserver.ru/b/filtr-vozdushnyy-fg-wilson-901-046-26510362-915-660-1539830.htm"/>
    <hyperlink ref="G78" r:id="rId283" display="https://autopiter.ru/cart"/>
    <hyperlink ref="J78" r:id="rId284" location="/basket" display="https://texnostimul.ru/baskets#/basket"/>
    <hyperlink ref="M78" r:id="rId285" location="/basket" display="https://arkopart.ru/baskets#/basket"/>
    <hyperlink ref="G79" r:id="rId286" display="https://autopiter.ru/goods/af25539/fleetguard/id21461873"/>
    <hyperlink ref="J79" r:id="rId287" display="https://baza.drom.ru/tyumen/sell_spare_parts/filtr-vozdushnyj-mtz-dv-lombardini-fleetguard-fleetguard-art-af25539-g14339684661.html"/>
    <hyperlink ref="M79" r:id="rId288" location="/basket" display="https://gmgauto.ru/baskets#/basket"/>
    <hyperlink ref="G80" r:id="rId289" display="https://www.autoopt.ru/catalog/961833-filtr_masljanyj_caterpillar_fleetguard"/>
    <hyperlink ref="J80" r:id="rId290" display="https://emex.ru/basket"/>
    <hyperlink ref="M80" r:id="rId291" location="/basket" display="https://fetparts.ru/baskets#/basket"/>
    <hyperlink ref="G81" r:id="rId292" display="https://avsila.ru/catalog/masla-avtokosmetika-avtokhimiya/germetiki/germetik-abro-silikonovyy-seryy-85-gr-original-99-ab/"/>
    <hyperlink ref="J81" r:id="rId293" display="https://www.avtoall.ru/germetik_prokladka_seryiy_termostoiykiiy_85g_999_oem__ssha__abro-073340/?withoutSuppliers=1"/>
    <hyperlink ref="M81" r:id="rId294" display="https://www.chipdip.ru/product0/8013231474"/>
    <hyperlink ref="G82" r:id="rId295" display="https://instrument-40.ru/transmissionnoe-maslo-vitex-tad-17-tm-5-18-10-l-v324805"/>
    <hyperlink ref="J82" r:id="rId296" display="https://yunimag.ru/goods/1401431-transmissionnoe-maslo-vitex-tad-17tm-5-18-v324805.html"/>
    <hyperlink ref="M82" r:id="rId297" display="https://novorossiysk.vseinstrumenti.ru/product/transmissionnoe-maslo-vitex-tad-17-tm-5-18-10-l-v324805-1582198/?ysclid=lnn32euvjo575984245"/>
    <hyperlink ref="G83" r:id="rId298" display="https://smetiz.ru/tovary/gajki/gost-5915-70-d4-k5-mstal-pczink-h0-l0-ca2-akrupnyij-srossiya-117397/"/>
    <hyperlink ref="M83" r:id="rId299" display="https://kst21.ru/catalog/gayka_shestigrannaya_gost_5915_5927_din_934/gayka_m_4_otsink_kl_pr_8_0_din_934_gost_5915/"/>
    <hyperlink ref="J84" r:id="rId300" display="https://smetiz.ru/tovary/gajki/gost-5915-70-d5-k5-mstal-pbez-pokryitiya-h0-l0-ca2-akrupnyij-srossiya-121664/"/>
    <hyperlink ref="M84" r:id="rId301" display="https://www.mtk-fortuna.ru/listdiams.aspx?gradeid=1520"/>
    <hyperlink ref="G85" r:id="rId302" display="https://megamarket.ru/catalog/details/germetik-silikonovyy-prozrachnyy-310-g-vysokotemperaturnyy-abro-ss-1200-clr-abro-art-ss-12-100025302233/"/>
    <hyperlink ref="J85" r:id="rId303" display="https://www.chipdip.ru/product0/8022187512"/>
    <hyperlink ref="M85" r:id="rId304" display="https://leroymerlin.ru/product/germetik-silikonovyy-abro-ss-1200-clr1200-prozrachnyy-310-ml-90342403/?utm_referrer=https%3A%2F%2Fyandex.ru%2Fsearch%2F%3Ftext%3D%25D0%25A1%25D0%25B8%25D0%25BB%25D0%25B8%25D0%25BA%25D0%25BE%25D0%25BD%25D0%25BE%25D0%25B2%25D1%258B%25D0%25B9%2B%25D0%25B3%25D0%25B5%25D1%2580%25D0%25BC%25D0%25B5%25D1%2582%25D0%25B8%25D0%25BA%2BABRO%2B%25D0%25BF%25D1%2580%25D0%25BE%25D0%25B7%25D1%2580%25D0%25B0%25D1%2587%25D0%25BD%25D1%258B%25D0%25B9%2B310%2B%25D0%25B3%2BSS-1200-CLR%26clid%3D2714389%26win%3D619%26lr%3D11064"/>
    <hyperlink ref="G86" r:id="rId305" display="https://nevinnomyssk.kupi.ru/product/180-kley-spetsialnyy-moment-stolyar-770835763/"/>
    <hyperlink ref="J86" r:id="rId306" display="https://www.onlinetrade.ru/catalogue/kley-c3491/moment/kley_dlya_dereva_moment_stolyar_422981_250_g-545082.html"/>
    <hyperlink ref="M86" r:id="rId307" display="https://www.etm.ru/cat/nn/9869907"/>
    <hyperlink ref="G87" r:id="rId308" display="https://kraski-dl.ru/product/kraska-nerzhamet-ral-1028-zhyoltaya-dynya-antiko/"/>
    <hyperlink ref="J87" r:id="rId309" display="https://wooood.ru/catalog/emal/kraska_po_metallu_antikorrozionnaya_nerzhamet_10_kg/?oid=7108"/>
    <hyperlink ref="M87" r:id="rId310" display="https://color-servis.ru/catalog/soputstvuyushchie_tovary/anti_koroziynye_kraski/923/"/>
    <hyperlink ref="AF87" r:id="rId311" display="https://spb-orion.ru/product/nerzhamet/?ysclid=lrg7w91j5z245218018"/>
    <hyperlink ref="AI87" r:id="rId312" display="https://kraski-dl.ru/product/kraska-nerzhamet-ral-1028-zhyoltaya-dynya-antiko/"/>
    <hyperlink ref="G88" r:id="rId313" display="https://kraski-dl.ru/product/kraska-nerzhamet-ral-6020-zelenyj-hrom-antikorrozionnaya-poluglyanczevaya-dlya-metalla-krasko/"/>
    <hyperlink ref="J88" r:id="rId314" display="https://ral.ru.com/catalog/kraski-ral/kraska-po-rzhavchine-ral/grunt-emal-nerzhamet-po-rzhavchine-poluglyantsevaya-3-v-1-8-kg/"/>
    <hyperlink ref="M88" r:id="rId315" display="https://spb-orion.ru/product/nerzhamet/"/>
    <hyperlink ref="AF88" r:id="rId316" display="https://spb-orion.ru/product/nerzhamet/?ysclid=lrg7w91j5z245218018"/>
    <hyperlink ref="AI88" r:id="rId317" display="https://kraski-dl.ru/product/kraska-nerzhamet-ral-6029-zelenaya-myata-antikorrozionnaya-poluglyanczevaya-dlya-metalla-krasko/"/>
    <hyperlink ref="G89" r:id="rId318" display="https://kraski-dl.ru/product/kraska-nerzhamet-ral-3001-signalnyj-krasnyj/"/>
    <hyperlink ref="J89" r:id="rId319" display="https://market.yandex.ru/catalog--emali/18060863/list?srnum=1&amp;was_redir=1&amp;rt=9&amp;rs=eJwdkD1Iw0AcxRNbm6JLHNRBJIeDg-Li5kchk3PRwfUQZzcddPDUwaKIOAmBQsDB4lAKUgVNNYNCMUovYDeRjG6Ki-Ci997y49279_-4m37Ile3NfLGb9Aa2p6u6mSp9pRs6MmpX6BtzbKQ7umV4fGH3FSvnR45b7x46OATfnYJ7kHYKj7YVPs8aylzJUDyB4de8of8DWqORYTYOHQd0TpCRb3TuQLHFzAi0fGHt6y1uJ-D7y3OoGmMygS-vocM2q04xPRtugQOgXEN_K09dQ63_jqT4gBYb97idZOcpcpF-Aqo6GK9zw1_W7vNdEt2sNuf2Q_sCm1gL6CCH4IhLznW55x9fV-Gth6TY49tXOGUV-Vix8yCYnUWcDq2qyKvPGUxZouOwmwftb_NnIm7SU_oHLUSnnw%2C%2C&amp;text=Нержамет%20красная&amp;hid=91605&amp;allowCollapsing=1&amp;local-offers-first=0&amp;glfilter=13887626%3A13891866"/>
    <hyperlink ref="M89" r:id="rId320" display="https://lkmflot.ru/kraski-i-emali/naruzhnye-i-vnutrennie/krasko/kraska-grunt-dlya-metalla-krasko-nerzhamet/"/>
    <hyperlink ref="AF89" r:id="rId321" display="https://spb-orion.ru/product/nerzhamet/?ysclid=lrg7w91j5z245218018"/>
    <hyperlink ref="AI89" r:id="rId322" display="https://kraski-dl.ru/product/kraska-nerzhamet-ral-3020-transportnyj-krasn/"/>
    <hyperlink ref="G90" r:id="rId323" display="https://postroyka-nv.ru/catalog/show/Emal_NERZHAMETRAL7040seryj20kg"/>
    <hyperlink ref="J90" r:id="rId324" display="https://market.yandex.ru/product--profi-roof/1824487696/spec?track=char"/>
    <hyperlink ref="M90" r:id="rId325" display="https://ekb.pulscen.ru/products/grunt_emal_nerzhamet_49323632"/>
    <hyperlink ref="AF90" r:id="rId326" display="https://spb-orion.ru/product/nerzhamet/?ysclid=lrg7w91j5z245218018"/>
    <hyperlink ref="G91" r:id="rId327" display="https://color1.ru/alkidnaya-antikorrozionnaya-grunt-emal-indosingl-tsvet-ral-7032-1kg"/>
    <hyperlink ref="J91" r:id="rId328" display="https://profkolor.ru/goods/Kod-po-katalogu-RAL7032-2K-antikorrozijnaya-akrilovaya-grunt-jemal-Naimenovanie-kraski-Kieselgrau-Seraya-galka"/>
    <hyperlink ref="M91" r:id="rId329" display="https://leroymerlin-jeb.ru/tovary/stroitelstvo-i-remont/materialy/alkidnaya-antikorrozionnaya-grunt-emal-indosingl-cvet-ral-7034-1kg"/>
    <hyperlink ref="AC91" r:id="rId330" display="https://kraski-dl.ru/product/kraska-nerzhamet-ral-7032-seraya-galka-antikorrozionnaya-poluglyanczevaya-dlya-metalla-krasko/"/>
    <hyperlink ref="G92" r:id="rId331" display="https://www.bafus.ru/200716029/"/>
    <hyperlink ref="J92" r:id="rId332" display="https://kraski-dl.ru/product/kraska-nerzhamet-ral-9017-chyornyj-transportny/"/>
    <hyperlink ref="M92" r:id="rId333" display="https://postroyka-nv.ru/catalog/show/Emal_NERZHAMETRAL7040seryj20kg"/>
    <hyperlink ref="G93" r:id="rId334" display="https://electrovent.ru/elektrotehnicheskie-tovary/lampy/energosberegayuschie-lampy/energosberegayuschaya-lampa-philips-softone-esaver-11w-827-e27-230-240v-t60/"/>
    <hyperlink ref="J93" r:id="rId335" display="https://ledgoods.ru/osveshchenie/lamps/lampy-ehnergosberegayushchie-kll/lampa-lyuminescentnaya-kll-genie-es-11w-ww-e27-220-240v-1pf-6-871150080119710-ph80119710-philips/"/>
    <hyperlink ref="M93" r:id="rId336" display="https://www.smartlamps.ru/products/softone-esaver-11w-827-e27-230-240v-t60-d60x114-philips-lampa"/>
    <hyperlink ref="G94" r:id="rId337" display="https://www.chipdip.ru/product0/8173557661?ysclid=lnnduye3ft880435890"/>
    <hyperlink ref="J94" r:id="rId338" display="https://rs24.ru/product/165966"/>
    <hyperlink ref="M94" r:id="rId339" display="https://www.etm.ru/cat/nn/1811446?ysclid=lnndurbfbl890260666&amp;city=77"/>
    <hyperlink ref="G95" r:id="rId340" display="https://www.etm.ru/cat/nn/9053610?city=77"/>
    <hyperlink ref="J95" r:id="rId341" display="https://electro-materiali.ru/catalog/lampy-istochniki-sveta/lampy-luminestsentnye/lampy-kompaktnye-lyuministsentnye-i-lyuministsentnye-uniel/102649/"/>
    <hyperlink ref="M95" r:id="rId342" display="https://elkon.su/lampa-energosberegayushchaya-kll-45-842-e27-d64x157-spiral-kosmos/"/>
    <hyperlink ref="G96" r:id="rId343" display="https://nevinnomissk.promportal.su/goods/37468248/labomid-203.htm"/>
    <hyperlink ref="J96" r:id="rId344" display="https://fedexpert.ru/catalog/khimiya/moyushchie_sredstva/tekhnicheskie_moyushchie_sredstva/8594/"/>
    <hyperlink ref="M96" r:id="rId345" display="https://www.eko-tec.ru/product/5166279/"/>
    <hyperlink ref="G97" r:id="rId346" display="https://stavropol.pulscen.ru/products/labomid_203_fasovka_35_kg_59604586"/>
    <hyperlink ref="J97" r:id="rId347" display="https://www.aquateka.ru/?cat=products&amp;prod=tehnicheskoe-moyushee-sredstvo-labomid-203-40-kg-650040"/>
    <hyperlink ref="M97" r:id="rId348" display="https://www.td-polimer54.ru/goods/84558460-labomid_203"/>
    <hyperlink ref="G98" r:id="rId349" display="https://www.vseinstrumenti.ru/product/lampa-gauss-led-elementary-a60-15w-e27-1480lm-6500k-23235-942504/"/>
    <hyperlink ref="J98" r:id="rId350" display="https://www.etm.ru/cat/nn/8532745"/>
    <hyperlink ref="M98" r:id="rId351" display="https://leroymerlin.ru/product/lampa-svetodiodnaya-osram-grusha-15vt-1521lm-e27-holodnyy-belyy-svet-85099643/"/>
    <hyperlink ref="G99" r:id="rId352" display="https://krasnodar.specstali.ru/product/folga-latunnaja-dlja-pajki-l63-0-05-mm-gost-2208-2007-listovaja/"/>
    <hyperlink ref="J99" r:id="rId353" display="https://metall-77.ru/folga-latunnaya"/>
    <hyperlink ref="M99" r:id="rId354" display="https://snabservis.ru/catalog/latunnaya-folga/"/>
    <hyperlink ref="G100" r:id="rId355" display="https://www.vseinstrumenti.ru/product/montazhnyj-klej-ceresit-cb-10-1864068-3014720/"/>
    <hyperlink ref="J100" r:id="rId356" display="https://ts-krovizol.ru/catalog/product/akrilovyy-montazhnyy-kley-ceresit-cb-10-400-gr/"/>
    <hyperlink ref="M100" r:id="rId357" display="https://www.stroyshopper.ru/product/klej_montazhnyj_akrilovyj_ceresit_cb_10/"/>
    <hyperlink ref="G101" r:id="rId358" display="https://www.mirkrasok.ru/product/ceresit_cn_178_tserezit_smes_legko_vyravnivayushchayasya/sku_184941/"/>
    <hyperlink ref="J101" r:id="rId359" display="https://profiplitka.ru/product/ceresit-cn-76-vysokoprochnaja-samovyravnivajuschajasja-tsementnaja-smes-ot-4-do-15-50-mm-25-kg/"/>
    <hyperlink ref="M101" r:id="rId360" display="https://ts-krovizol.ru/catalog/product/samovyravnivayushchayasya-tsementnaya-smes-ceresit-cn-76-25-kg/?utm_source=stroyportal&amp;utm_medium=tag&amp;utm_campaign=moskva&amp;utm_term=1584431348722160720&amp;utm_content=24525&amp;strprtl=8fec4d06960f903a983c8359bb307ba9"/>
    <hyperlink ref="G102" r:id="rId361" display="https://www.mirkrasok.ru/product/ceresit_cs_24_premium_universal_tserezit_germetik_silikonovyy_universalnyy/"/>
    <hyperlink ref="J102" r:id="rId362" display="https://www.kraski-market.ru/catalog/germetiki_i_montazhnaya_pena/silikonovye_germetiki/"/>
    <hyperlink ref="M102" r:id="rId363" display="ceresit_cs_24_premium_universal_germetik_universalnyy_silikonovyy_prozrachnyy_280ml"/>
    <hyperlink ref="AC102" r:id="rId364" display="https://www.vseinstrumenti.ru/product/universalnyj-germetik-ceresit-cs-24-prozrachnyj-2005218-2392744/?ysclid=lrggpjlsko620944375"/>
    <hyperlink ref="G103" r:id="rId365" display="https://ceresit-russia.ru/ceresit-ct29-fasovka-25-kg/"/>
    <hyperlink ref="J103" r:id="rId366" display="https://rdstroy.ru/catalog/shpatlevki_tsementnye/ct_225_25_shpatlyevka_fasad_finish_belaya_48_sht_pod_ceresit/"/>
    <hyperlink ref="M103" r:id="rId367" display="https://alea.shop/shpaklevka-cementnaya-belaya-ceresit-st-225-25-kg/"/>
    <hyperlink ref="G104" r:id="rId368" display="https://rdstroy.ru/catalog/shtukaturki_tsementnye/ct_29_25_shtukat_i_remont_shpatlyevka_25_kg_48sht_pod_ceresit/"/>
    <hyperlink ref="J104" r:id="rId369" display="https://ru-ceresit.com/ceresit-ct-29-2/"/>
    <hyperlink ref="M104" r:id="rId370" display="https://rdstroy.ru/catalog/shtukaturki_tsementnye/ct_29_25_shtukat_i_remont_shpatlyevka_25_kg_48sht_pod_ceresit/"/>
    <hyperlink ref="G105" r:id="rId371" display="https://ceresit-market.ru/catalog/klei-dlya-plitki/cm-14-extra-kley-d-plitki/"/>
    <hyperlink ref="J105" r:id="rId372" display="https://www.mirkrasok.ru/product/ceresit_cm_14_extra_tserezit_kley_dlya_plitki_i_keramogranita/"/>
    <hyperlink ref="M105" r:id="rId373" display="https://profiplitka.ru/product/ceresit-sm-14-extra-25-kg/"/>
    <hyperlink ref="AC105" r:id="rId374" display="https://stavropol.leroymerlin.ru/product/kley-dlya-plitki-i-keramogranita-cerezit-cm-14-extra-25-kg-82040394/?ysclid=lrghtm2zpp77919402&amp;fromRegion=34"/>
    <hyperlink ref="G106" r:id="rId375" display="https://kraskivmoskve.ru/product/ceresit-ts-62tserezit-ts-62-universalnaya-montazhnaya-pena"/>
    <hyperlink ref="J106" r:id="rId376" display="https://ceresitshop.ru/catalog/penyi-germetiki-klei/penyi/ceresit-ts-62"/>
    <hyperlink ref="M106" r:id="rId377" display="https://www-fasad.ru/pena-montazhnaya-ceresit-ts-62-universalnaya-750-ml/"/>
    <hyperlink ref="G107" r:id="rId378" display="https://moscow.petrovich.ru/product/102860/?ysclid=lnn6bm9c4n822490262"/>
    <hyperlink ref="J107" r:id="rId379" display="https://www.termokit.ru/product/zatirka_ceresit_se_40_2_aquastatic_vodoottalkivayushchaya_belaya_01_2_kg.htm"/>
    <hyperlink ref="M107" r:id="rId380" display="https://www.kraski.ru/catalog/ceresit_se_40_aquastatic_tserezit_tse_40_akvasatik_zatirka_dlya_shvov_do_10_mm_vodoottalkivayushchaya/?ysclid=lnn6bk9zgx457384661"/>
    <hyperlink ref="G108" r:id="rId381" display="https://avtomaster66.ru/catalog/grunty_1/grunt_emal_mister_hammer_hardmax_korroed_ral_5015_goluboy_po_rzhavchine_1l_0_9kg_kvil_/"/>
    <hyperlink ref="J108" r:id="rId382" display="https://www.chipdip.ru/product0/8008857921"/>
    <hyperlink ref="M108" r:id="rId383" location="searchQuery=Грунт-эмаль+по+ржавчине+HardMax+Корроед+RAL+5015+голубой&amp;searchType=srp" display="https://novorossiysk.vseinstrumenti.ru/product/grunt-emal-po-rzhavchine-hardmax-korroed-ral-5015-goluboj-banka-0-9-kg-1-sht-4690417077977-1853240/#searchQuery=Грунт-эмаль+по+ржавчине+HardMax+Корроед+RAL+5015+голубой&amp;searchType=srp"/>
    <hyperlink ref="G109" r:id="rId384" display="https://uni-fitt.shop/collection/baki-membannye/baki-rasshiritelnye-reflex/8210500.html?ysclid=lnn1xbpop1865454036"/>
    <hyperlink ref="J109" r:id="rId385" display="https://teplo-com.ru/catalog/179460/"/>
    <hyperlink ref="M109" r:id="rId386" display="https://www.teremonline.ru/catalog/inzhenernaya-santekhnika/membrannye-baki/3524_dlya-sistem-otopleniya/reflex-membrannyy-bak-s-100/?ysclid=lnn1x7fqoo281338246"/>
    <hyperlink ref="AC109" r:id="rId387" display="https://reflex.sale/katalog/membrannye-baki-dlia-sistem-otopleniia/s-50-250/bak-membrannij-reflex-s-100-10bar120c-serij-art-8210500"/>
    <hyperlink ref="G110" r:id="rId388" display="https://zamkitut.ru/catalog/zamki/navesnye-zamki/chaz/navesnoy-zamok-chaz-vs2a/"/>
    <hyperlink ref="J110" r:id="rId389" display="https://vertical.ru/product/navesnoy-zamok-chaz-vs2a/"/>
    <hyperlink ref="M110" r:id="rId390" display="https://zamki34.ru/collection/zamki-navesnye-trosovye/product/zamok-navesnoy-chaz-vs2a-5665"/>
    <hyperlink ref="G111" r:id="rId391" display="https://megamarket.ru/catalog/details/kraska-vgt-akrilovaya-vd-ak-1180-fasadnaya-superbelaya-vlagostoykaya-matovaya-bescvetnyy-13-kg-100051813645/?utm_source=yandex&amp;utm_medium=cpc&amp;utm_campaign=smm_search_dsa%3A4_stroitelstvo_i_remont_cb_%5Bregions%5D_%7C86121008%7C&amp;utm_term=3771611.13887207686.&amp;utm_content=5171123321.premium.1.16262686.none.11064.Невинномысск&amp;adjust_ya_click_id=1828704582133088255&amp;adjust_campaign=smm_search_dsa%3A4_stroitelstvo_i_remont_cb_%5Bregions%5D&amp;adjust_tracker=4a3jxi1_j6n0ehs&amp;yclid=1828704582133088255"/>
    <hyperlink ref="J111" r:id="rId392" display="https://nevinnomyssk.kupi.ru/product/180-kraska-fasadnaya-vdak-brigada-753362282/"/>
    <hyperlink ref="M111" r:id="rId393" display="https://radugakraski.ru/katalog/kraski/dlya-mineralnyh-fasadov/vdak-1180z/?oid=19643"/>
    <hyperlink ref="G112" r:id="rId394" display="https://oknabm.ru/catalog/accessories/steklopaket/odnokamernye-steklopakety/1k-steklopaket-4-16-4/"/>
    <hyperlink ref="J112" r:id="rId395" display="https://www.relit.ru/price-replace-window.htm"/>
    <hyperlink ref="M112" r:id="rId396" display="https://www.eurookna.ru/steklopakety/tsena-za-m2/"/>
    <hyperlink ref="G113" r:id="rId397" display="https://new.optorg.ru/catalog/stroitelnye_i_otdelochnye_materialy/suhie_stroitelnye_smesi/shpatlevka/270086/"/>
    <hyperlink ref="J113" r:id="rId398" display="https://nvs-stroy.ru/catalogue/11102/6440/?ysclid=lnn04m2n59102945093"/>
    <hyperlink ref="M113" r:id="rId399" display="https://gorodmasterov23.ru/shop/stroitelnye-i-otdelochnye-materialy/suhie-smesi/shpatlevki/abs-saten-inter-shpatlevka-5-0-kg/?ysclid=lnn07ta0q9177616528"/>
    <hyperlink ref="G114" r:id="rId400" display="https://new.optorg.ru/catalog/instrument_i_oborudovanie/elektrosvarochnoe_oborudovanie/elektrody/242388/"/>
    <hyperlink ref="J114" r:id="rId401" display="https://www.svarcka.ru/svarochnye-materialy/elektrody-dlya-svarki/3-1-381-detail.html"/>
    <hyperlink ref="M114" r:id="rId402" display="https://krasnodar.vseinstrumenti.ru/product/elektrody-svarochnye-ano-21-1-kg-3-mm-tigarbo-te-213010009-1933705/?ysclid=lnmzpk2gss399476481"/>
  </hyperlinks>
  <printOptions headings="false" gridLines="false" gridLinesSet="true" horizontalCentered="false" verticalCentered="false"/>
  <pageMargins left="0.25" right="0.25" top="0.75" bottom="0.75" header="0.511811023622047" footer="0.511811023622047"/>
  <pageSetup paperSize="9" scale="35" fitToWidth="1" fitToHeight="1" pageOrder="downThenOver" orientation="landscape" blackAndWhite="false" draft="false" cellComments="none" horizontalDpi="300" verticalDpi="300" copies="1"/>
  <headerFooter differentFirst="false" differentOddEven="false">
    <oddHeader/>
    <oddFooter/>
  </headerFooter>
  <drawing r:id="rId403"/>
  <legacyDrawing r:id="rId40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Q85"/>
  <sheetViews>
    <sheetView showFormulas="false" showGridLines="true" showRowColHeaders="true" showZeros="true" rightToLeft="false" tabSelected="false" showOutlineSymbols="true" defaultGridColor="true" view="pageBreakPreview" topLeftCell="A1" colorId="64" zoomScale="75" zoomScaleNormal="70" zoomScalePageLayoutView="75" workbookViewId="0">
      <pane xSplit="5" ySplit="10" topLeftCell="K77" activePane="bottomRight" state="frozen"/>
      <selection pane="topLeft" activeCell="A1" activeCellId="0" sqref="A1"/>
      <selection pane="topRight" activeCell="K1" activeCellId="0" sqref="K1"/>
      <selection pane="bottomLeft" activeCell="A77" activeCellId="0" sqref="A77"/>
      <selection pane="bottomRight" activeCell="Q83" activeCellId="0" sqref="Q83"/>
    </sheetView>
  </sheetViews>
  <sheetFormatPr defaultColWidth="8.8046875" defaultRowHeight="12.8" zeroHeight="false" outlineLevelRow="0" outlineLevelCol="1"/>
  <cols>
    <col collapsed="false" customWidth="true" hidden="false" outlineLevel="0" max="1" min="1" style="1" width="9.52"/>
    <col collapsed="false" customWidth="true" hidden="false" outlineLevel="0" max="2" min="2" style="1" width="49.51"/>
    <col collapsed="false" customWidth="true" hidden="false" outlineLevel="0" max="3" min="3" style="1" width="14.23"/>
    <col collapsed="false" customWidth="true" hidden="false" outlineLevel="0" max="4" min="4" style="1" width="20.51"/>
    <col collapsed="false" customWidth="true" hidden="false" outlineLevel="0" max="5" min="5" style="1" width="15.95"/>
    <col collapsed="false" customWidth="true" hidden="false" outlineLevel="0" max="6" min="6" style="1" width="28.8"/>
    <col collapsed="false" customWidth="true" hidden="false" outlineLevel="0" max="7" min="7" style="1" width="23.37"/>
    <col collapsed="false" customWidth="true" hidden="false" outlineLevel="0" max="8" min="8" style="1" width="26.09"/>
    <col collapsed="false" customWidth="true" hidden="false" outlineLevel="0" max="9" min="9" style="1" width="28.09"/>
    <col collapsed="false" customWidth="true" hidden="false" outlineLevel="0" max="10" min="10" style="1" width="27.23"/>
    <col collapsed="false" customWidth="true" hidden="false" outlineLevel="0" max="11" min="11" style="1" width="21.23"/>
    <col collapsed="false" customWidth="true" hidden="false" outlineLevel="0" max="12" min="12" style="1" width="24.23"/>
    <col collapsed="false" customWidth="true" hidden="false" outlineLevel="0" max="13" min="13" style="1" width="27.51"/>
    <col collapsed="false" customWidth="true" hidden="false" outlineLevel="0" max="14" min="14" style="1" width="26.37"/>
    <col collapsed="false" customWidth="true" hidden="false" outlineLevel="0" max="15" min="15" style="1" width="17.23"/>
    <col collapsed="false" customWidth="true" hidden="true" outlineLevel="0" max="16" min="16" style="1" width="23.37"/>
    <col collapsed="false" customWidth="true" hidden="false" outlineLevel="0" max="17" min="17" style="1" width="23.37"/>
    <col collapsed="false" customWidth="true" hidden="true" outlineLevel="0" max="18" min="18" style="1" width="40.66"/>
    <col collapsed="false" customWidth="false" hidden="true" outlineLevel="0" max="19" min="19" style="1" width="8.8"/>
    <col collapsed="false" customWidth="true" hidden="true" outlineLevel="1" max="22" min="20" style="1" width="12.95"/>
    <col collapsed="false" customWidth="true" hidden="true" outlineLevel="0" max="24" min="23" style="1" width="10.8"/>
    <col collapsed="false" customWidth="true" hidden="true" outlineLevel="0" max="27" min="25" style="1" width="13.09"/>
    <col collapsed="false" customWidth="true" hidden="false" outlineLevel="0" max="28" min="28" style="1" width="15.37"/>
    <col collapsed="false" customWidth="true" hidden="false" outlineLevel="0" max="30" min="29" style="1" width="18.23"/>
    <col collapsed="false" customWidth="true" hidden="false" outlineLevel="0" max="31" min="31" style="1" width="16.51"/>
    <col collapsed="false" customWidth="true" hidden="false" outlineLevel="0" max="32" min="32" style="1" width="15.51"/>
    <col collapsed="false" customWidth="true" hidden="false" outlineLevel="0" max="33" min="33" style="1" width="16.8"/>
    <col collapsed="false" customWidth="true" hidden="false" outlineLevel="0" max="35" min="34" style="1" width="14.66"/>
    <col collapsed="false" customWidth="true" hidden="false" outlineLevel="0" max="36" min="36" style="1" width="21.09"/>
    <col collapsed="false" customWidth="true" hidden="false" outlineLevel="0" max="37" min="37" style="1" width="12.66"/>
    <col collapsed="false" customWidth="true" hidden="false" outlineLevel="0" max="38" min="38" style="1" width="16.8"/>
    <col collapsed="false" customWidth="true" hidden="false" outlineLevel="0" max="39" min="39" style="1" width="10.09"/>
    <col collapsed="false" customWidth="true" hidden="false" outlineLevel="0" max="40" min="40" style="1" width="10.8"/>
    <col collapsed="false" customWidth="true" hidden="false" outlineLevel="0" max="43" min="41" style="1" width="11.09"/>
  </cols>
  <sheetData>
    <row r="1" customFormat="false" ht="15" hidden="true" customHeight="true" outlineLevel="0" collapsed="false">
      <c r="O1" s="2" t="s">
        <v>0</v>
      </c>
      <c r="P1" s="2"/>
      <c r="Q1" s="2"/>
      <c r="R1" s="2"/>
    </row>
    <row r="2" customFormat="false" ht="32.25" hidden="true" customHeight="true" outlineLevel="0" collapsed="false">
      <c r="O2" s="3" t="s">
        <v>1</v>
      </c>
      <c r="P2" s="3"/>
      <c r="Q2" s="3"/>
      <c r="R2" s="3"/>
    </row>
    <row r="3" customFormat="false" ht="25.5" hidden="true" customHeight="true" outlineLevel="0" collapsed="false">
      <c r="A3" s="4" t="s">
        <v>2</v>
      </c>
      <c r="B3" s="4"/>
      <c r="C3" s="4"/>
      <c r="D3" s="4"/>
      <c r="E3" s="4"/>
      <c r="F3" s="4"/>
      <c r="G3" s="4"/>
      <c r="H3" s="4"/>
      <c r="I3" s="4"/>
      <c r="J3" s="4"/>
      <c r="K3" s="4"/>
      <c r="L3" s="4"/>
      <c r="M3" s="4"/>
      <c r="N3" s="4"/>
      <c r="O3" s="4"/>
      <c r="P3" s="5"/>
      <c r="Q3" s="5"/>
    </row>
    <row r="4" customFormat="false" ht="17.25" hidden="true" customHeight="true" outlineLevel="0" collapsed="false">
      <c r="A4" s="6"/>
      <c r="B4" s="6"/>
      <c r="C4" s="6"/>
      <c r="D4" s="6"/>
      <c r="E4" s="6"/>
      <c r="F4" s="6"/>
      <c r="G4" s="6"/>
      <c r="H4" s="6"/>
      <c r="I4" s="6"/>
      <c r="J4" s="6"/>
      <c r="K4" s="6"/>
      <c r="L4" s="6"/>
      <c r="M4" s="6"/>
      <c r="N4" s="6"/>
    </row>
    <row r="5" s="8" customFormat="true" ht="28.5" hidden="true" customHeight="true" outlineLevel="0" collapsed="false">
      <c r="A5" s="7" t="s">
        <v>3</v>
      </c>
      <c r="B5" s="7"/>
      <c r="C5" s="7"/>
      <c r="D5" s="7"/>
      <c r="E5" s="7"/>
      <c r="F5" s="7"/>
      <c r="G5" s="7"/>
      <c r="H5" s="7"/>
      <c r="I5" s="7"/>
      <c r="J5" s="7"/>
      <c r="K5" s="7"/>
      <c r="L5" s="7"/>
      <c r="M5" s="7"/>
      <c r="N5" s="7"/>
      <c r="O5" s="7"/>
      <c r="P5" s="7"/>
    </row>
    <row r="6" s="8" customFormat="true" ht="15" hidden="true" customHeight="true" outlineLevel="0" collapsed="false"/>
    <row r="7" s="8" customFormat="true" ht="15.75" hidden="false" customHeight="true" outlineLevel="0" collapsed="false">
      <c r="A7" s="107" t="s">
        <v>4</v>
      </c>
      <c r="B7" s="108" t="s">
        <v>5</v>
      </c>
      <c r="C7" s="109" t="s">
        <v>6</v>
      </c>
      <c r="D7" s="109" t="s">
        <v>7</v>
      </c>
      <c r="E7" s="109" t="s">
        <v>8</v>
      </c>
      <c r="F7" s="110" t="s">
        <v>9</v>
      </c>
      <c r="G7" s="110"/>
      <c r="H7" s="110"/>
      <c r="I7" s="110" t="s">
        <v>10</v>
      </c>
      <c r="J7" s="110"/>
      <c r="K7" s="110"/>
      <c r="L7" s="111" t="s">
        <v>11</v>
      </c>
      <c r="M7" s="111"/>
      <c r="N7" s="111"/>
      <c r="O7" s="112" t="s">
        <v>12</v>
      </c>
      <c r="P7" s="113" t="s">
        <v>13</v>
      </c>
      <c r="Q7" s="114" t="s">
        <v>14</v>
      </c>
      <c r="R7" s="107" t="s">
        <v>15</v>
      </c>
      <c r="T7" s="115" t="s">
        <v>16</v>
      </c>
      <c r="U7" s="115"/>
      <c r="V7" s="115"/>
      <c r="AB7" s="78" t="s">
        <v>9</v>
      </c>
      <c r="AC7" s="78"/>
      <c r="AD7" s="78"/>
      <c r="AE7" s="79" t="s">
        <v>10</v>
      </c>
      <c r="AF7" s="79"/>
      <c r="AG7" s="79"/>
      <c r="AH7" s="80" t="s">
        <v>11</v>
      </c>
      <c r="AI7" s="80"/>
      <c r="AJ7" s="80"/>
      <c r="AK7" s="116" t="s">
        <v>692</v>
      </c>
      <c r="AL7" s="116" t="s">
        <v>693</v>
      </c>
    </row>
    <row r="8" s="8" customFormat="true" ht="15.75" hidden="false" customHeight="true" outlineLevel="0" collapsed="false">
      <c r="A8" s="107"/>
      <c r="B8" s="108"/>
      <c r="C8" s="108"/>
      <c r="D8" s="108"/>
      <c r="E8" s="109"/>
      <c r="F8" s="110"/>
      <c r="G8" s="110"/>
      <c r="H8" s="110"/>
      <c r="I8" s="110"/>
      <c r="J8" s="110"/>
      <c r="K8" s="110"/>
      <c r="L8" s="111"/>
      <c r="M8" s="111"/>
      <c r="N8" s="111"/>
      <c r="O8" s="112"/>
      <c r="P8" s="113"/>
      <c r="Q8" s="114"/>
      <c r="R8" s="107"/>
      <c r="T8" s="115"/>
      <c r="U8" s="115"/>
      <c r="V8" s="115"/>
      <c r="AB8" s="78"/>
      <c r="AC8" s="78"/>
      <c r="AD8" s="78"/>
      <c r="AE8" s="79"/>
      <c r="AF8" s="79"/>
      <c r="AG8" s="79"/>
      <c r="AH8" s="80"/>
      <c r="AI8" s="80"/>
      <c r="AJ8" s="80"/>
      <c r="AK8" s="116"/>
      <c r="AL8" s="116"/>
    </row>
    <row r="9" s="8" customFormat="true" ht="94.5" hidden="false" customHeight="true" outlineLevel="0" collapsed="false">
      <c r="A9" s="107"/>
      <c r="B9" s="108"/>
      <c r="C9" s="109"/>
      <c r="D9" s="109"/>
      <c r="E9" s="109"/>
      <c r="F9" s="117" t="s">
        <v>17</v>
      </c>
      <c r="G9" s="118" t="s">
        <v>18</v>
      </c>
      <c r="H9" s="118" t="s">
        <v>19</v>
      </c>
      <c r="I9" s="117" t="s">
        <v>17</v>
      </c>
      <c r="J9" s="118" t="s">
        <v>18</v>
      </c>
      <c r="K9" s="118" t="s">
        <v>19</v>
      </c>
      <c r="L9" s="117" t="s">
        <v>17</v>
      </c>
      <c r="M9" s="118" t="s">
        <v>18</v>
      </c>
      <c r="N9" s="118" t="s">
        <v>20</v>
      </c>
      <c r="O9" s="112"/>
      <c r="P9" s="113"/>
      <c r="Q9" s="114"/>
      <c r="R9" s="107"/>
      <c r="T9" s="119" t="s">
        <v>9</v>
      </c>
      <c r="U9" s="119" t="s">
        <v>10</v>
      </c>
      <c r="V9" s="119" t="s">
        <v>11</v>
      </c>
      <c r="AB9" s="120" t="s">
        <v>17</v>
      </c>
      <c r="AC9" s="120" t="s">
        <v>694</v>
      </c>
      <c r="AD9" s="120" t="s">
        <v>19</v>
      </c>
      <c r="AE9" s="120" t="s">
        <v>17</v>
      </c>
      <c r="AF9" s="120" t="s">
        <v>694</v>
      </c>
      <c r="AG9" s="120" t="s">
        <v>19</v>
      </c>
      <c r="AH9" s="120" t="s">
        <v>17</v>
      </c>
      <c r="AI9" s="120" t="s">
        <v>695</v>
      </c>
      <c r="AJ9" s="120" t="s">
        <v>20</v>
      </c>
      <c r="AK9" s="116"/>
      <c r="AL9" s="116"/>
    </row>
    <row r="10" s="26" customFormat="true" ht="15.75" hidden="false" customHeight="true" outlineLevel="0" collapsed="false">
      <c r="A10" s="22" t="n">
        <v>1</v>
      </c>
      <c r="B10" s="23" t="n">
        <v>2</v>
      </c>
      <c r="C10" s="24" t="n">
        <v>3</v>
      </c>
      <c r="D10" s="24" t="n">
        <v>4</v>
      </c>
      <c r="E10" s="24" t="n">
        <v>5</v>
      </c>
      <c r="F10" s="25" t="n">
        <v>5</v>
      </c>
      <c r="G10" s="25" t="n">
        <v>6</v>
      </c>
      <c r="H10" s="23" t="n">
        <v>7</v>
      </c>
      <c r="I10" s="25" t="n">
        <v>8</v>
      </c>
      <c r="J10" s="23" t="n">
        <v>9</v>
      </c>
      <c r="K10" s="23" t="n">
        <v>10</v>
      </c>
      <c r="L10" s="25" t="n">
        <v>11</v>
      </c>
      <c r="M10" s="23" t="n">
        <v>6</v>
      </c>
      <c r="N10" s="23" t="n">
        <v>7</v>
      </c>
      <c r="O10" s="121" t="n">
        <v>8</v>
      </c>
      <c r="P10" s="25" t="n">
        <v>16</v>
      </c>
      <c r="Q10" s="122" t="n">
        <v>9</v>
      </c>
      <c r="R10" s="122" t="n">
        <v>18</v>
      </c>
      <c r="S10" s="123"/>
      <c r="T10" s="124"/>
      <c r="U10" s="124"/>
      <c r="V10" s="124"/>
      <c r="W10" s="123"/>
      <c r="X10" s="123"/>
      <c r="Y10" s="123"/>
      <c r="Z10" s="123"/>
      <c r="AA10" s="123"/>
      <c r="AB10" s="123" t="n">
        <v>10</v>
      </c>
      <c r="AC10" s="123" t="n">
        <v>11</v>
      </c>
      <c r="AD10" s="123" t="n">
        <v>12</v>
      </c>
      <c r="AE10" s="123" t="n">
        <v>13</v>
      </c>
      <c r="AF10" s="123" t="n">
        <v>14</v>
      </c>
      <c r="AG10" s="123" t="n">
        <v>15</v>
      </c>
      <c r="AH10" s="123" t="n">
        <v>16</v>
      </c>
      <c r="AI10" s="123" t="n">
        <v>17</v>
      </c>
      <c r="AJ10" s="123" t="n">
        <v>18</v>
      </c>
      <c r="AK10" s="123" t="n">
        <v>19</v>
      </c>
      <c r="AL10" s="123" t="n">
        <v>20</v>
      </c>
    </row>
    <row r="11" s="71" customFormat="true" ht="38.25" hidden="false" customHeight="true" outlineLevel="0" collapsed="false">
      <c r="A11" s="28" t="n">
        <v>1</v>
      </c>
      <c r="B11" s="57" t="s">
        <v>21</v>
      </c>
      <c r="C11" s="125" t="s">
        <v>22</v>
      </c>
      <c r="D11" s="125" t="n">
        <v>4842.5</v>
      </c>
      <c r="E11" s="126" t="n">
        <f aca="false">O11</f>
        <v>2.8</v>
      </c>
      <c r="F11" s="87" t="s">
        <v>949</v>
      </c>
      <c r="G11" s="34" t="n">
        <f aca="false">310/1.2/85</f>
        <v>3.04</v>
      </c>
      <c r="H11" s="34" t="n">
        <f aca="false">G11*D11</f>
        <v>14721.2</v>
      </c>
      <c r="I11" s="87" t="s">
        <v>950</v>
      </c>
      <c r="J11" s="34" t="n">
        <f aca="false">258.4/1.2/85</f>
        <v>2.53</v>
      </c>
      <c r="K11" s="34" t="n">
        <f aca="false">J11*D11</f>
        <v>12251.53</v>
      </c>
      <c r="L11" s="87" t="s">
        <v>951</v>
      </c>
      <c r="M11" s="34" t="n">
        <f aca="false">290/1.2/85</f>
        <v>2.84</v>
      </c>
      <c r="N11" s="34" t="n">
        <f aca="false">D11*M11</f>
        <v>13752.7</v>
      </c>
      <c r="O11" s="127" t="n">
        <f aca="false">AVERAGE(G11,J11,M11)</f>
        <v>2.8</v>
      </c>
      <c r="P11" s="36" t="n">
        <f aca="false">E11*100/O11-100</f>
        <v>0</v>
      </c>
      <c r="Q11" s="128" t="n">
        <f aca="false">D11*E11</f>
        <v>13559</v>
      </c>
      <c r="R11" s="129"/>
      <c r="T11" s="130" t="n">
        <f aca="false">ROUND(G11*100/O11-100,0)</f>
        <v>9</v>
      </c>
      <c r="U11" s="130" t="n">
        <f aca="false">ROUND(J11*100/O11-100,0)</f>
        <v>-10</v>
      </c>
      <c r="V11" s="130" t="n">
        <f aca="false">ROUND(M11*100/O11-100,0)</f>
        <v>1</v>
      </c>
      <c r="W11" s="85" t="n">
        <f aca="false">O11/1.2</f>
        <v>2.33</v>
      </c>
      <c r="X11" s="85" t="n">
        <f aca="false">O11*1.2</f>
        <v>3.36</v>
      </c>
      <c r="Y11" s="131" t="n">
        <f aca="false">AND((G11)&gt;=MIN(W11),(G11)&lt;=MAX(X11))</f>
        <v>1</v>
      </c>
      <c r="Z11" s="131" t="n">
        <f aca="false">AND((J11)&gt;=MIN(W11),(J11)&lt;=MAX(X11))</f>
        <v>1</v>
      </c>
      <c r="AA11" s="131" t="n">
        <f aca="false">AND((M11)&gt;=MIN(W11),(M11)&lt;=MAX(X11))</f>
        <v>1</v>
      </c>
      <c r="AB11" s="132" t="s">
        <v>952</v>
      </c>
      <c r="AC11" s="133" t="n">
        <f aca="false">370/1.2/85</f>
        <v>3.63</v>
      </c>
      <c r="AD11" s="134" t="n">
        <f aca="false">AC11*Z11</f>
        <v>3.63</v>
      </c>
      <c r="AE11" s="132" t="s">
        <v>949</v>
      </c>
      <c r="AF11" s="133" t="n">
        <f aca="false">369/1.2/85</f>
        <v>3.62</v>
      </c>
      <c r="AG11" s="134" t="n">
        <f aca="false">AF11*Z11</f>
        <v>3.62</v>
      </c>
      <c r="AH11" s="135" t="s">
        <v>953</v>
      </c>
      <c r="AI11" s="136" t="n">
        <f aca="false">313/1.2/85</f>
        <v>3.07</v>
      </c>
      <c r="AJ11" s="134" t="n">
        <f aca="false">AI11*D11</f>
        <v>14866.48</v>
      </c>
      <c r="AK11" s="137" t="n">
        <f aca="false">AVERAGE(AC11,AF11,AI11)</f>
        <v>3.44</v>
      </c>
      <c r="AL11" s="137" t="n">
        <f aca="false">((E11-AK11)/AK11)*100</f>
        <v>-18.6</v>
      </c>
      <c r="AM11" s="92" t="n">
        <f aca="false">AK11/1.2</f>
        <v>2.87</v>
      </c>
      <c r="AN11" s="92" t="n">
        <f aca="false">AK11*1.2</f>
        <v>4.13</v>
      </c>
      <c r="AO11" s="86" t="n">
        <f aca="false">AND((AC11)&gt;=MIN(AM11),(AC11)&lt;=MAX(AN11))</f>
        <v>1</v>
      </c>
      <c r="AP11" s="86" t="n">
        <f aca="false">AND((AF11)&gt;=MIN(AM11),(AF11)&lt;=MAX(AN11))</f>
        <v>1</v>
      </c>
      <c r="AQ11" s="86" t="n">
        <f aca="false">AND((AI11)&gt;=MIN(AM11),(AI11)&lt;=MAX(AN11))</f>
        <v>1</v>
      </c>
    </row>
    <row r="12" s="71" customFormat="true" ht="39.75" hidden="false" customHeight="true" outlineLevel="0" collapsed="false">
      <c r="A12" s="28" t="n">
        <v>2</v>
      </c>
      <c r="B12" s="57" t="s">
        <v>26</v>
      </c>
      <c r="C12" s="125" t="s">
        <v>27</v>
      </c>
      <c r="D12" s="125" t="n">
        <v>4</v>
      </c>
      <c r="E12" s="126" t="n">
        <f aca="false">O12</f>
        <v>654.08</v>
      </c>
      <c r="F12" s="87" t="s">
        <v>954</v>
      </c>
      <c r="G12" s="34" t="n">
        <f aca="false">1423/1.9/1.2</f>
        <v>624.12</v>
      </c>
      <c r="H12" s="34" t="n">
        <f aca="false">G12*D12</f>
        <v>2496.48</v>
      </c>
      <c r="I12" s="87" t="s">
        <v>955</v>
      </c>
      <c r="J12" s="34" t="n">
        <f aca="false">674/0.9/1.2</f>
        <v>624.07</v>
      </c>
      <c r="K12" s="34" t="n">
        <f aca="false">J12*D12</f>
        <v>2496.28</v>
      </c>
      <c r="L12" s="87" t="s">
        <v>956</v>
      </c>
      <c r="M12" s="34" t="n">
        <f aca="false">1628/1.9/1.2</f>
        <v>714.04</v>
      </c>
      <c r="N12" s="34" t="n">
        <f aca="false">D12*M12</f>
        <v>2856.16</v>
      </c>
      <c r="O12" s="127" t="n">
        <f aca="false">AVERAGE(G12,J12,M12)</f>
        <v>654.08</v>
      </c>
      <c r="P12" s="36" t="n">
        <f aca="false">E12*100/O12-100</f>
        <v>0</v>
      </c>
      <c r="Q12" s="127" t="n">
        <f aca="false">D12*E12</f>
        <v>2616.32</v>
      </c>
      <c r="R12" s="70"/>
      <c r="T12" s="138" t="n">
        <f aca="false">ROUND(G12*100/O12-100,0)</f>
        <v>-5</v>
      </c>
      <c r="U12" s="138" t="n">
        <f aca="false">ROUND(J12*100/O12-100,0)</f>
        <v>-5</v>
      </c>
      <c r="V12" s="138" t="n">
        <f aca="false">ROUND(M12*100/O12-100,0)</f>
        <v>9</v>
      </c>
      <c r="W12" s="85" t="n">
        <f aca="false">O12/1.2</f>
        <v>545.07</v>
      </c>
      <c r="X12" s="85" t="n">
        <f aca="false">O12*1.2</f>
        <v>784.9</v>
      </c>
      <c r="Y12" s="86" t="n">
        <f aca="false">AND((G12)&gt;=MIN(W12),(G12)&lt;=MAX(X12))</f>
        <v>1</v>
      </c>
      <c r="Z12" s="86" t="n">
        <f aca="false">AND((J12)&gt;=MIN(W12),(J12)&lt;=MAX(X12))</f>
        <v>1</v>
      </c>
      <c r="AA12" s="86" t="n">
        <f aca="false">AND((M12)&gt;=MIN(W12),(M12)&lt;=MAX(X12))</f>
        <v>1</v>
      </c>
      <c r="AB12" s="95" t="s">
        <v>957</v>
      </c>
      <c r="AC12" s="88" t="n">
        <f aca="false">1628/1.9/1.2</f>
        <v>714.04</v>
      </c>
      <c r="AD12" s="89" t="n">
        <f aca="false">AC12*H12</f>
        <v>1782586.58</v>
      </c>
      <c r="AE12" s="87" t="s">
        <v>955</v>
      </c>
      <c r="AF12" s="88" t="n">
        <f aca="false">674/0.9/1.2</f>
        <v>624.07</v>
      </c>
      <c r="AG12" s="89" t="n">
        <f aca="false">AF12*H12</f>
        <v>1557978.27</v>
      </c>
      <c r="AH12" s="95" t="s">
        <v>956</v>
      </c>
      <c r="AI12" s="88" t="n">
        <f aca="false">1628/1.9/1.2</f>
        <v>714.04</v>
      </c>
      <c r="AJ12" s="89" t="n">
        <f aca="false">AI12*D12</f>
        <v>2856.16</v>
      </c>
      <c r="AK12" s="91" t="n">
        <f aca="false">AVERAGE(AC12,AF12,AI12)</f>
        <v>684.05</v>
      </c>
      <c r="AL12" s="91" t="n">
        <f aca="false">((E12-AK12)/AK12)*100</f>
        <v>-4.38</v>
      </c>
      <c r="AM12" s="92" t="n">
        <f aca="false">AK12/1.2</f>
        <v>570.04</v>
      </c>
      <c r="AN12" s="92" t="n">
        <f aca="false">AK12*1.2</f>
        <v>820.86</v>
      </c>
      <c r="AO12" s="86" t="n">
        <f aca="false">AND((AC12)&gt;=MIN(AM12),(AC12)&lt;=MAX(AN12))</f>
        <v>1</v>
      </c>
      <c r="AP12" s="86" t="n">
        <f aca="false">AND((AF12)&gt;=MIN(AM12),(AF12)&lt;=MAX(AN12))</f>
        <v>1</v>
      </c>
      <c r="AQ12" s="86" t="n">
        <f aca="false">AND((AI12)&gt;=MIN(AM12),(AI12)&lt;=MAX(AN12))</f>
        <v>1</v>
      </c>
    </row>
    <row r="13" s="71" customFormat="true" ht="44.25" hidden="false" customHeight="true" outlineLevel="0" collapsed="false">
      <c r="A13" s="28" t="n">
        <v>3</v>
      </c>
      <c r="B13" s="57" t="s">
        <v>31</v>
      </c>
      <c r="C13" s="125" t="s">
        <v>27</v>
      </c>
      <c r="D13" s="125" t="n">
        <v>15</v>
      </c>
      <c r="E13" s="126" t="n">
        <f aca="false">AK13</f>
        <v>647.51</v>
      </c>
      <c r="F13" s="106" t="s">
        <v>32</v>
      </c>
      <c r="G13" s="34" t="n">
        <f aca="false">945/0.9/1.2</f>
        <v>875</v>
      </c>
      <c r="H13" s="34" t="n">
        <f aca="false">D13*G13</f>
        <v>13125</v>
      </c>
      <c r="I13" s="33" t="s">
        <v>33</v>
      </c>
      <c r="J13" s="34" t="n">
        <f aca="false">990/0.9/1.2</f>
        <v>916.67</v>
      </c>
      <c r="K13" s="34" t="n">
        <f aca="false">D13*J13</f>
        <v>13750.05</v>
      </c>
      <c r="L13" s="33" t="s">
        <v>34</v>
      </c>
      <c r="M13" s="34" t="n">
        <f aca="false">911/0.9/1.2</f>
        <v>843.52</v>
      </c>
      <c r="N13" s="34" t="n">
        <f aca="false">D13*M13</f>
        <v>12652.8</v>
      </c>
      <c r="O13" s="127" t="n">
        <f aca="false">AVERAGE(G13,J13,M13)</f>
        <v>878.4</v>
      </c>
      <c r="P13" s="36" t="n">
        <f aca="false">E13*100/O13-100</f>
        <v>-26.28529143898</v>
      </c>
      <c r="Q13" s="127" t="n">
        <f aca="false">D13*E13</f>
        <v>9712.65</v>
      </c>
      <c r="R13" s="70"/>
      <c r="T13" s="138" t="n">
        <f aca="false">ROUND(G13*100/O13-100,0)</f>
        <v>-0</v>
      </c>
      <c r="U13" s="138" t="n">
        <f aca="false">ROUND(J13*100/O13-100,0)</f>
        <v>4</v>
      </c>
      <c r="V13" s="138" t="n">
        <f aca="false">ROUND(M13*100/O13-100,0)</f>
        <v>-4</v>
      </c>
      <c r="W13" s="85" t="n">
        <f aca="false">O13/1.2</f>
        <v>732</v>
      </c>
      <c r="X13" s="85" t="n">
        <f aca="false">O13*1.2</f>
        <v>1054.08</v>
      </c>
      <c r="Y13" s="86" t="n">
        <f aca="false">AND((G13)&gt;=MIN(W13),(G13)&lt;=MAX(X13))</f>
        <v>1</v>
      </c>
      <c r="Z13" s="86" t="n">
        <f aca="false">AND((J13)&gt;=MIN(W13),(J13)&lt;=MAX(X13))</f>
        <v>1</v>
      </c>
      <c r="AA13" s="86" t="n">
        <f aca="false">AND((M13)&gt;=MIN(W13),(M13)&lt;=MAX(X13))</f>
        <v>1</v>
      </c>
      <c r="AB13" s="94" t="s">
        <v>698</v>
      </c>
      <c r="AC13" s="88" t="n">
        <f aca="false">1519/1.2/1.9</f>
        <v>666.23</v>
      </c>
      <c r="AD13" s="88" t="n">
        <f aca="false">AC13*D13</f>
        <v>9993.45</v>
      </c>
      <c r="AE13" s="87" t="s">
        <v>699</v>
      </c>
      <c r="AF13" s="88" t="n">
        <f aca="false">1480/1.2/1.9</f>
        <v>649.12</v>
      </c>
      <c r="AG13" s="89" t="n">
        <f aca="false">AF13*D13</f>
        <v>9736.8</v>
      </c>
      <c r="AH13" s="87" t="s">
        <v>700</v>
      </c>
      <c r="AI13" s="90" t="n">
        <f aca="false">1430/1.2/1.9</f>
        <v>627.19</v>
      </c>
      <c r="AJ13" s="89" t="n">
        <f aca="false">AI13*D13</f>
        <v>9407.85</v>
      </c>
      <c r="AK13" s="91" t="n">
        <f aca="false">AVERAGE(AC13,AF13,AI13)</f>
        <v>647.51</v>
      </c>
      <c r="AL13" s="91" t="n">
        <f aca="false">((E13-AK13)/AK13)*100</f>
        <v>0</v>
      </c>
      <c r="AM13" s="92" t="n">
        <f aca="false">AK13/1.2</f>
        <v>539.59</v>
      </c>
      <c r="AN13" s="92" t="n">
        <f aca="false">AK13*1.2</f>
        <v>777.01</v>
      </c>
      <c r="AO13" s="86" t="n">
        <f aca="false">AND((AC13)&gt;=MIN(AM13),(AC13)&lt;=MAX(AN13))</f>
        <v>1</v>
      </c>
      <c r="AP13" s="86" t="n">
        <f aca="false">AND((AF13)&gt;=MIN(AM13),(AF13)&lt;=MAX(AN13))</f>
        <v>1</v>
      </c>
      <c r="AQ13" s="86" t="n">
        <f aca="false">AND((AI13)&gt;=MIN(AM13),(AI13)&lt;=MAX(AN13))</f>
        <v>1</v>
      </c>
    </row>
    <row r="14" s="71" customFormat="true" ht="39" hidden="false" customHeight="true" outlineLevel="0" collapsed="false">
      <c r="A14" s="28" t="n">
        <v>4</v>
      </c>
      <c r="B14" s="57" t="s">
        <v>35</v>
      </c>
      <c r="C14" s="125" t="s">
        <v>27</v>
      </c>
      <c r="D14" s="125" t="n">
        <v>4</v>
      </c>
      <c r="E14" s="126" t="n">
        <f aca="false">AK14</f>
        <v>688.6</v>
      </c>
      <c r="F14" s="106" t="s">
        <v>36</v>
      </c>
      <c r="G14" s="34" t="n">
        <f aca="false">920/0.9/1.2</f>
        <v>851.85</v>
      </c>
      <c r="H14" s="34" t="n">
        <f aca="false">D14*G14</f>
        <v>3407.4</v>
      </c>
      <c r="I14" s="33" t="s">
        <v>37</v>
      </c>
      <c r="J14" s="34" t="n">
        <f aca="false">902/0.9/1.2</f>
        <v>835.19</v>
      </c>
      <c r="K14" s="34" t="n">
        <f aca="false">D14*J14</f>
        <v>3340.76</v>
      </c>
      <c r="L14" s="33" t="s">
        <v>38</v>
      </c>
      <c r="M14" s="34" t="n">
        <f aca="false">807/0.9/1.2</f>
        <v>747.22</v>
      </c>
      <c r="N14" s="34" t="n">
        <f aca="false">D14*M14</f>
        <v>2988.88</v>
      </c>
      <c r="O14" s="127" t="n">
        <f aca="false">AVERAGE(G14,J14,M14)</f>
        <v>811.42</v>
      </c>
      <c r="P14" s="36" t="n">
        <f aca="false">E14*100/O14-100</f>
        <v>-15.1364274974736</v>
      </c>
      <c r="Q14" s="127" t="n">
        <f aca="false">D14*E14</f>
        <v>2754.4</v>
      </c>
      <c r="R14" s="70"/>
      <c r="T14" s="138" t="n">
        <f aca="false">ROUND(G14*100/O14-100,0)</f>
        <v>5</v>
      </c>
      <c r="U14" s="138" t="n">
        <f aca="false">ROUND(J14*100/O14-100,0)</f>
        <v>3</v>
      </c>
      <c r="V14" s="138" t="n">
        <f aca="false">ROUND(M14*100/O14-100,0)</f>
        <v>-8</v>
      </c>
      <c r="W14" s="85" t="n">
        <f aca="false">O14/1.2</f>
        <v>676.18</v>
      </c>
      <c r="X14" s="85" t="n">
        <f aca="false">O14*1.2</f>
        <v>973.7</v>
      </c>
      <c r="Y14" s="86" t="n">
        <f aca="false">AND((G14)&gt;=MIN(W14),(G14)&lt;=MAX(X14))</f>
        <v>1</v>
      </c>
      <c r="Z14" s="86" t="n">
        <f aca="false">AND((J14)&gt;=MIN(W14),(J14)&lt;=MAX(X14))</f>
        <v>1</v>
      </c>
      <c r="AA14" s="86" t="n">
        <f aca="false">AND((M14)&gt;=MIN(W14),(M14)&lt;=MAX(X14))</f>
        <v>1</v>
      </c>
      <c r="AB14" s="87" t="s">
        <v>701</v>
      </c>
      <c r="AC14" s="88" t="n">
        <f aca="false">1312/1.2/1.9</f>
        <v>575.44</v>
      </c>
      <c r="AD14" s="88" t="n">
        <f aca="false">AC14*D14</f>
        <v>2301.76</v>
      </c>
      <c r="AE14" s="95" t="s">
        <v>702</v>
      </c>
      <c r="AF14" s="88" t="n">
        <f aca="false">1628/1.2/1.9</f>
        <v>714.04</v>
      </c>
      <c r="AG14" s="89" t="n">
        <f aca="false">AF14*D14</f>
        <v>2856.16</v>
      </c>
      <c r="AH14" s="95" t="s">
        <v>703</v>
      </c>
      <c r="AI14" s="96" t="n">
        <f aca="false">1770/1.2/1.9</f>
        <v>776.32</v>
      </c>
      <c r="AJ14" s="89" t="n">
        <f aca="false">AI14*D14</f>
        <v>3105.28</v>
      </c>
      <c r="AK14" s="91" t="n">
        <f aca="false">AVERAGE(AC14,AF14,AI14)</f>
        <v>688.6</v>
      </c>
      <c r="AL14" s="91" t="n">
        <f aca="false">((E14-AK14)/AK14)*100</f>
        <v>0</v>
      </c>
      <c r="AM14" s="92" t="n">
        <f aca="false">AK14/1.2</f>
        <v>573.83</v>
      </c>
      <c r="AN14" s="92" t="n">
        <f aca="false">AK14*1.2</f>
        <v>826.32</v>
      </c>
      <c r="AO14" s="86" t="n">
        <f aca="false">AND((AC14)&gt;=MIN(AM14),(AC14)&lt;=MAX(AN14))</f>
        <v>1</v>
      </c>
      <c r="AP14" s="86" t="n">
        <f aca="false">AND((AF14)&gt;=MIN(AM14),(AF14)&lt;=MAX(AN14))</f>
        <v>1</v>
      </c>
      <c r="AQ14" s="86" t="n">
        <f aca="false">AND((AI14)&gt;=MIN(AM14),(AI14)&lt;=MAX(AN14))</f>
        <v>1</v>
      </c>
    </row>
    <row r="15" s="71" customFormat="true" ht="51.75" hidden="false" customHeight="true" outlineLevel="0" collapsed="false">
      <c r="A15" s="28" t="n">
        <v>5</v>
      </c>
      <c r="B15" s="57" t="s">
        <v>39</v>
      </c>
      <c r="C15" s="125" t="s">
        <v>40</v>
      </c>
      <c r="D15" s="125" t="n">
        <v>320</v>
      </c>
      <c r="E15" s="126" t="n">
        <f aca="false">AK15</f>
        <v>7.33</v>
      </c>
      <c r="F15" s="106" t="s">
        <v>41</v>
      </c>
      <c r="G15" s="34" t="n">
        <f aca="false">9/1.2</f>
        <v>7.5</v>
      </c>
      <c r="H15" s="34" t="n">
        <f aca="false">D15*G15</f>
        <v>2400</v>
      </c>
      <c r="I15" s="139" t="s">
        <v>42</v>
      </c>
      <c r="J15" s="34" t="n">
        <f aca="false">9/1.2</f>
        <v>7.5</v>
      </c>
      <c r="K15" s="34" t="n">
        <f aca="false">D15*J15</f>
        <v>2400</v>
      </c>
      <c r="L15" s="106" t="s">
        <v>43</v>
      </c>
      <c r="M15" s="34" t="n">
        <f aca="false">10/1.2</f>
        <v>8.33</v>
      </c>
      <c r="N15" s="34" t="n">
        <f aca="false">D15*M15</f>
        <v>2665.6</v>
      </c>
      <c r="O15" s="127" t="n">
        <f aca="false">AVERAGE(G15,J15,M15)</f>
        <v>7.78</v>
      </c>
      <c r="P15" s="36" t="n">
        <f aca="false">E15*100/O15-100</f>
        <v>-5.7840616966581</v>
      </c>
      <c r="Q15" s="127" t="n">
        <f aca="false">D15*E15</f>
        <v>2345.6</v>
      </c>
      <c r="R15" s="70"/>
      <c r="T15" s="138" t="n">
        <f aca="false">ROUND(G15*100/O15-100,0)</f>
        <v>-4</v>
      </c>
      <c r="U15" s="138" t="n">
        <f aca="false">ROUND(J15*100/O15-100,0)</f>
        <v>-4</v>
      </c>
      <c r="V15" s="138" t="n">
        <f aca="false">ROUND(M15*100/O15-100,0)</f>
        <v>7</v>
      </c>
      <c r="W15" s="85" t="n">
        <f aca="false">O15/1.2</f>
        <v>6.48</v>
      </c>
      <c r="X15" s="85" t="n">
        <f aca="false">O15*1.2</f>
        <v>9.34</v>
      </c>
      <c r="Y15" s="86" t="n">
        <f aca="false">AND((G15)&gt;=MIN(W15),(G15)&lt;=MAX(X15))</f>
        <v>1</v>
      </c>
      <c r="Z15" s="86" t="n">
        <f aca="false">AND((J15)&gt;=MIN(W15),(J15)&lt;=MAX(X15))</f>
        <v>1</v>
      </c>
      <c r="AA15" s="86" t="n">
        <f aca="false">AND((M15)&gt;=MIN(W15),(M15)&lt;=MAX(X15))</f>
        <v>1</v>
      </c>
      <c r="AB15" s="95" t="s">
        <v>705</v>
      </c>
      <c r="AC15" s="88" t="n">
        <f aca="false">8.98/1.2</f>
        <v>7.48</v>
      </c>
      <c r="AD15" s="88" t="n">
        <f aca="false">AC15*D15</f>
        <v>2393.6</v>
      </c>
      <c r="AE15" s="95" t="s">
        <v>706</v>
      </c>
      <c r="AF15" s="88" t="n">
        <f aca="false">10/1.2</f>
        <v>8.33</v>
      </c>
      <c r="AG15" s="89" t="n">
        <f aca="false">AF15*D15</f>
        <v>2665.6</v>
      </c>
      <c r="AH15" s="87" t="s">
        <v>707</v>
      </c>
      <c r="AI15" s="96" t="n">
        <f aca="false">7.4/1.2</f>
        <v>6.17</v>
      </c>
      <c r="AJ15" s="89" t="n">
        <f aca="false">AI15*D15</f>
        <v>1974.4</v>
      </c>
      <c r="AK15" s="91" t="n">
        <f aca="false">AVERAGE(AC15,AF15,AI15)</f>
        <v>7.33</v>
      </c>
      <c r="AL15" s="91" t="n">
        <f aca="false">((E15-AK15)/AK15)*100</f>
        <v>0</v>
      </c>
      <c r="AM15" s="92" t="n">
        <f aca="false">AK15/1.2</f>
        <v>6.11</v>
      </c>
      <c r="AN15" s="92" t="n">
        <f aca="false">AK15*1.2</f>
        <v>8.8</v>
      </c>
      <c r="AO15" s="86" t="n">
        <f aca="false">AND((AC15)&gt;=MIN(AM15),(AC15)&lt;=MAX(AN15))</f>
        <v>1</v>
      </c>
      <c r="AP15" s="86" t="n">
        <f aca="false">AND((AF15)&gt;=MIN(AM15),(AF15)&lt;=MAX(AN15))</f>
        <v>1</v>
      </c>
      <c r="AQ15" s="86" t="n">
        <f aca="false">AND((AI15)&gt;=MIN(AM15),(AI15)&lt;=MAX(AN15))</f>
        <v>1</v>
      </c>
    </row>
    <row r="16" s="38" customFormat="true" ht="46.5" hidden="false" customHeight="true" outlineLevel="0" collapsed="false">
      <c r="A16" s="28" t="n">
        <v>6</v>
      </c>
      <c r="B16" s="57" t="s">
        <v>958</v>
      </c>
      <c r="C16" s="125" t="s">
        <v>40</v>
      </c>
      <c r="D16" s="125" t="n">
        <v>45</v>
      </c>
      <c r="E16" s="126" t="n">
        <f aca="false">O16</f>
        <v>183.61</v>
      </c>
      <c r="F16" s="106" t="s">
        <v>959</v>
      </c>
      <c r="G16" s="34" t="n">
        <f aca="false">223/1.2</f>
        <v>185.83</v>
      </c>
      <c r="H16" s="34" t="n">
        <f aca="false">D16*G16</f>
        <v>8362.35</v>
      </c>
      <c r="I16" s="33" t="s">
        <v>960</v>
      </c>
      <c r="J16" s="34" t="n">
        <f aca="false">230/1.2</f>
        <v>191.67</v>
      </c>
      <c r="K16" s="34" t="n">
        <f aca="false">D16*J16</f>
        <v>8625.15</v>
      </c>
      <c r="L16" s="49" t="s">
        <v>961</v>
      </c>
      <c r="M16" s="34" t="n">
        <f aca="false">208/1.2</f>
        <v>173.33</v>
      </c>
      <c r="N16" s="34" t="n">
        <f aca="false">D16*M16</f>
        <v>7799.85</v>
      </c>
      <c r="O16" s="127" t="n">
        <f aca="false">AVERAGE(G16,J16,M16)</f>
        <v>183.61</v>
      </c>
      <c r="P16" s="36" t="n">
        <f aca="false">E16*100/O16-100</f>
        <v>0</v>
      </c>
      <c r="Q16" s="127" t="n">
        <f aca="false">D16*E16</f>
        <v>8262.45</v>
      </c>
      <c r="R16" s="37"/>
      <c r="T16" s="39" t="n">
        <f aca="false">ROUND(G16*100/O16-100,0)</f>
        <v>1</v>
      </c>
      <c r="U16" s="39" t="n">
        <f aca="false">ROUND(J16*100/O16-100,0)</f>
        <v>4</v>
      </c>
      <c r="V16" s="39" t="n">
        <f aca="false">ROUND(M16*100/O16-100,0)</f>
        <v>-6</v>
      </c>
      <c r="W16" s="85" t="n">
        <f aca="false">O16/1.2</f>
        <v>153.01</v>
      </c>
      <c r="X16" s="85" t="n">
        <f aca="false">O16*1.2</f>
        <v>220.33</v>
      </c>
      <c r="Y16" s="86" t="n">
        <f aca="false">AND((G16)&gt;=MIN(W16),(G16)&lt;=MAX(X16))</f>
        <v>1</v>
      </c>
      <c r="Z16" s="86" t="n">
        <f aca="false">AND((J16)&gt;=MIN(W16),(J16)&lt;=MAX(X16))</f>
        <v>1</v>
      </c>
      <c r="AA16" s="86" t="n">
        <f aca="false">AND((M16)&gt;=MIN(W16),(M16)&lt;=MAX(X16))</f>
        <v>1</v>
      </c>
      <c r="AB16" s="95" t="s">
        <v>959</v>
      </c>
      <c r="AC16" s="88" t="n">
        <f aca="false">223/1.2</f>
        <v>185.83</v>
      </c>
      <c r="AD16" s="88" t="n">
        <f aca="false">AC16*D16</f>
        <v>8362.35</v>
      </c>
      <c r="AE16" s="95" t="s">
        <v>962</v>
      </c>
      <c r="AF16" s="88" t="n">
        <f aca="false">223.9/1.2</f>
        <v>186.58</v>
      </c>
      <c r="AG16" s="89" t="n">
        <f aca="false">AF16*D16</f>
        <v>8396.1</v>
      </c>
      <c r="AH16" s="95" t="s">
        <v>963</v>
      </c>
      <c r="AI16" s="96" t="n">
        <f aca="false">255/1.2</f>
        <v>212.5</v>
      </c>
      <c r="AJ16" s="89" t="n">
        <f aca="false">AI16*D16</f>
        <v>9562.5</v>
      </c>
      <c r="AK16" s="91" t="n">
        <f aca="false">AVERAGE(AC16,AF16,AI16)</f>
        <v>194.97</v>
      </c>
      <c r="AL16" s="91" t="n">
        <f aca="false">((E16-AK16)/AK16)*100</f>
        <v>-5.83</v>
      </c>
      <c r="AM16" s="92" t="n">
        <f aca="false">AK16/1.2</f>
        <v>162.48</v>
      </c>
      <c r="AN16" s="92" t="n">
        <f aca="false">AK16*1.2</f>
        <v>233.96</v>
      </c>
      <c r="AO16" s="86" t="n">
        <f aca="false">AND((AC16)&gt;=MIN(AM16),(AC16)&lt;=MAX(AN16))</f>
        <v>1</v>
      </c>
      <c r="AP16" s="86" t="n">
        <f aca="false">AND((AF16)&gt;=MIN(AM16),(AF16)&lt;=MAX(AN16))</f>
        <v>1</v>
      </c>
      <c r="AQ16" s="86" t="n">
        <f aca="false">AND((AI16)&gt;=MIN(AM16),(AI16)&lt;=MAX(AN16))</f>
        <v>1</v>
      </c>
    </row>
    <row r="17" s="38" customFormat="true" ht="51.75" hidden="false" customHeight="true" outlineLevel="0" collapsed="false">
      <c r="A17" s="28" t="n">
        <v>7</v>
      </c>
      <c r="B17" s="57" t="s">
        <v>964</v>
      </c>
      <c r="C17" s="125" t="s">
        <v>40</v>
      </c>
      <c r="D17" s="125" t="n">
        <v>20</v>
      </c>
      <c r="E17" s="126" t="n">
        <f aca="false">O17</f>
        <v>302.78</v>
      </c>
      <c r="F17" s="95" t="s">
        <v>965</v>
      </c>
      <c r="G17" s="34" t="n">
        <f aca="false">367/1.2</f>
        <v>305.83</v>
      </c>
      <c r="H17" s="34" t="n">
        <f aca="false">D17*G17</f>
        <v>6116.6</v>
      </c>
      <c r="I17" s="95" t="s">
        <v>966</v>
      </c>
      <c r="J17" s="34" t="n">
        <f aca="false">352/1.2</f>
        <v>293.33</v>
      </c>
      <c r="K17" s="34" t="n">
        <f aca="false">D17*J17</f>
        <v>5866.6</v>
      </c>
      <c r="L17" s="95" t="s">
        <v>959</v>
      </c>
      <c r="M17" s="34" t="n">
        <f aca="false">371/1.2</f>
        <v>309.17</v>
      </c>
      <c r="N17" s="34" t="n">
        <f aca="false">D17*M17</f>
        <v>6183.4</v>
      </c>
      <c r="O17" s="127" t="n">
        <f aca="false">AVERAGE(G17,J17,M17)</f>
        <v>302.78</v>
      </c>
      <c r="P17" s="36" t="n">
        <f aca="false">E17*100/O17-100</f>
        <v>0</v>
      </c>
      <c r="Q17" s="127" t="n">
        <f aca="false">D17*E17</f>
        <v>6055.6</v>
      </c>
      <c r="R17" s="37"/>
      <c r="T17" s="39" t="n">
        <f aca="false">ROUND(G17*100/O17-100,0)</f>
        <v>1</v>
      </c>
      <c r="U17" s="39" t="n">
        <f aca="false">ROUND(J17*100/O17-100,0)</f>
        <v>-3</v>
      </c>
      <c r="V17" s="39" t="n">
        <f aca="false">ROUND(M17*100/O17-100,0)</f>
        <v>2</v>
      </c>
      <c r="W17" s="85" t="n">
        <f aca="false">O17/1.2</f>
        <v>252.32</v>
      </c>
      <c r="X17" s="85" t="n">
        <f aca="false">O17*1.2</f>
        <v>363.34</v>
      </c>
      <c r="Y17" s="86" t="n">
        <f aca="false">AND((G17)&gt;=MIN(W17),(G17)&lt;=MAX(X17))</f>
        <v>1</v>
      </c>
      <c r="Z17" s="140" t="n">
        <f aca="false">AND((J17)&gt;=MIN(W17),(J17)&lt;=MAX(X17))</f>
        <v>1</v>
      </c>
      <c r="AA17" s="140" t="n">
        <f aca="false">AND((M17)&gt;=MIN(W17),(M17)&lt;=MAX(X17))</f>
        <v>1</v>
      </c>
      <c r="AB17" s="87" t="s">
        <v>959</v>
      </c>
      <c r="AC17" s="88" t="n">
        <f aca="false">371/1.2</f>
        <v>309.17</v>
      </c>
      <c r="AD17" s="88" t="n">
        <f aca="false">AC17*D17</f>
        <v>6183.4</v>
      </c>
      <c r="AE17" s="95" t="s">
        <v>967</v>
      </c>
      <c r="AF17" s="88" t="n">
        <f aca="false">354.2/1.2</f>
        <v>295.17</v>
      </c>
      <c r="AG17" s="89" t="n">
        <f aca="false">AF17*D17</f>
        <v>5903.4</v>
      </c>
      <c r="AH17" s="95" t="s">
        <v>968</v>
      </c>
      <c r="AI17" s="96" t="n">
        <f aca="false">426/1.2</f>
        <v>355</v>
      </c>
      <c r="AJ17" s="89" t="n">
        <f aca="false">AI17*D17</f>
        <v>7100</v>
      </c>
      <c r="AK17" s="91" t="n">
        <f aca="false">AVERAGE(AC17,AF17,AI17)</f>
        <v>319.78</v>
      </c>
      <c r="AL17" s="91" t="n">
        <f aca="false">((E17-AK17)/AK17)*100</f>
        <v>-5.32</v>
      </c>
      <c r="AM17" s="92" t="n">
        <f aca="false">AK17/1.2</f>
        <v>266.48</v>
      </c>
      <c r="AN17" s="92" t="n">
        <f aca="false">AK17*1.2</f>
        <v>383.74</v>
      </c>
      <c r="AO17" s="86" t="n">
        <f aca="false">AND((AC17)&gt;=MIN(AM17),(AC17)&lt;=MAX(AN17))</f>
        <v>1</v>
      </c>
      <c r="AP17" s="86" t="n">
        <f aca="false">AND((AF17)&gt;=MIN(AM17),(AF17)&lt;=MAX(AN17))</f>
        <v>1</v>
      </c>
      <c r="AQ17" s="86" t="n">
        <f aca="false">AND((AI17)&gt;=MIN(AM17),(AI17)&lt;=MAX(AN17))</f>
        <v>1</v>
      </c>
    </row>
    <row r="18" s="38" customFormat="true" ht="77.25" hidden="false" customHeight="true" outlineLevel="0" collapsed="false">
      <c r="A18" s="28" t="n">
        <v>8</v>
      </c>
      <c r="B18" s="57" t="s">
        <v>969</v>
      </c>
      <c r="C18" s="125" t="s">
        <v>40</v>
      </c>
      <c r="D18" s="125" t="n">
        <v>25</v>
      </c>
      <c r="E18" s="126" t="n">
        <f aca="false">O18</f>
        <v>343.61</v>
      </c>
      <c r="F18" s="106" t="s">
        <v>970</v>
      </c>
      <c r="G18" s="34" t="n">
        <f aca="false">399/1.2</f>
        <v>332.5</v>
      </c>
      <c r="H18" s="34" t="n">
        <f aca="false">D18*G18</f>
        <v>8312.5</v>
      </c>
      <c r="I18" s="106" t="s">
        <v>971</v>
      </c>
      <c r="J18" s="34" t="n">
        <f aca="false">401.2/1.2</f>
        <v>334.33</v>
      </c>
      <c r="K18" s="34" t="n">
        <f aca="false">D18*J18</f>
        <v>8358.25</v>
      </c>
      <c r="L18" s="106" t="s">
        <v>972</v>
      </c>
      <c r="M18" s="34" t="n">
        <f aca="false">436.8/1.2</f>
        <v>364</v>
      </c>
      <c r="N18" s="34" t="n">
        <f aca="false">D18*M18</f>
        <v>9100</v>
      </c>
      <c r="O18" s="127" t="n">
        <f aca="false">AVERAGE(G18,J18,M18)</f>
        <v>343.61</v>
      </c>
      <c r="P18" s="36" t="n">
        <f aca="false">E18*100/O18-100</f>
        <v>0</v>
      </c>
      <c r="Q18" s="127" t="n">
        <f aca="false">D18*E18</f>
        <v>8590.25</v>
      </c>
      <c r="R18" s="37"/>
      <c r="T18" s="39" t="n">
        <f aca="false">ROUND(G18*100/O18-100,0)</f>
        <v>-3</v>
      </c>
      <c r="U18" s="39" t="n">
        <f aca="false">ROUND(J18*100/O18-100,0)</f>
        <v>-3</v>
      </c>
      <c r="V18" s="39" t="n">
        <f aca="false">ROUND(M18*100/O18-100,0)</f>
        <v>6</v>
      </c>
      <c r="W18" s="85" t="n">
        <f aca="false">O18/1.2</f>
        <v>286.34</v>
      </c>
      <c r="X18" s="85" t="n">
        <f aca="false">O18*1.2</f>
        <v>412.33</v>
      </c>
      <c r="Y18" s="86" t="n">
        <f aca="false">AND((G18)&gt;=MIN(W18),(G18)&lt;=MAX(X18))</f>
        <v>1</v>
      </c>
      <c r="Z18" s="86" t="n">
        <f aca="false">AND((J18)&gt;=MIN(W18),(J18)&lt;=MAX(X18))</f>
        <v>1</v>
      </c>
      <c r="AA18" s="86" t="n">
        <f aca="false">AND((M18)&gt;=MIN(W18),(M18)&lt;=MAX(X18))</f>
        <v>1</v>
      </c>
      <c r="AB18" s="95" t="s">
        <v>973</v>
      </c>
      <c r="AC18" s="88" t="n">
        <f aca="false">404/1.2</f>
        <v>336.67</v>
      </c>
      <c r="AD18" s="88" t="n">
        <f aca="false">AC18*D18</f>
        <v>8416.75</v>
      </c>
      <c r="AE18" s="95" t="s">
        <v>972</v>
      </c>
      <c r="AF18" s="141" t="n">
        <f aca="false">421.3/1.2</f>
        <v>351.08</v>
      </c>
      <c r="AG18" s="89" t="n">
        <f aca="false">AF18*D18</f>
        <v>8777</v>
      </c>
      <c r="AH18" s="95" t="s">
        <v>974</v>
      </c>
      <c r="AI18" s="141" t="n">
        <f aca="false">415/1.2</f>
        <v>345.83</v>
      </c>
      <c r="AJ18" s="89" t="n">
        <f aca="false">AI18*D18</f>
        <v>8645.75</v>
      </c>
      <c r="AK18" s="91" t="n">
        <f aca="false">AVERAGE(AC18,AF18,AI18)</f>
        <v>344.53</v>
      </c>
      <c r="AL18" s="91" t="n">
        <f aca="false">((E18-AK18)/AK18)*100</f>
        <v>-0.27</v>
      </c>
      <c r="AM18" s="92" t="n">
        <f aca="false">AK18/1.2</f>
        <v>287.11</v>
      </c>
      <c r="AN18" s="92" t="n">
        <f aca="false">AK18*1.2</f>
        <v>413.44</v>
      </c>
      <c r="AO18" s="86" t="n">
        <f aca="false">AND((AC18)&gt;=MIN(AM18),(AC18)&lt;=MAX(AN18))</f>
        <v>1</v>
      </c>
      <c r="AP18" s="86" t="n">
        <f aca="false">AND((AF18)&gt;=MIN(AM18),(AF18)&lt;=MAX(AN18))</f>
        <v>1</v>
      </c>
      <c r="AQ18" s="86" t="n">
        <f aca="false">AND((AI18)&gt;=MIN(AM18),(AI18)&lt;=MAX(AN18))</f>
        <v>1</v>
      </c>
    </row>
    <row r="19" s="38" customFormat="true" ht="56.25" hidden="false" customHeight="true" outlineLevel="0" collapsed="false">
      <c r="A19" s="28" t="n">
        <v>9</v>
      </c>
      <c r="B19" s="57" t="s">
        <v>975</v>
      </c>
      <c r="C19" s="125" t="s">
        <v>40</v>
      </c>
      <c r="D19" s="125" t="n">
        <v>15</v>
      </c>
      <c r="E19" s="126" t="n">
        <f aca="false">O19</f>
        <v>598.89</v>
      </c>
      <c r="F19" s="95" t="s">
        <v>976</v>
      </c>
      <c r="G19" s="34" t="n">
        <f aca="false">665/1.2</f>
        <v>554.17</v>
      </c>
      <c r="H19" s="34" t="n">
        <f aca="false">D19*G19</f>
        <v>8312.55</v>
      </c>
      <c r="I19" s="95" t="s">
        <v>977</v>
      </c>
      <c r="J19" s="34" t="n">
        <f aca="false">778/1.2</f>
        <v>648.33</v>
      </c>
      <c r="K19" s="34" t="n">
        <f aca="false">D19*J19</f>
        <v>9724.95</v>
      </c>
      <c r="L19" s="95" t="s">
        <v>978</v>
      </c>
      <c r="M19" s="34" t="n">
        <f aca="false">713/1.2</f>
        <v>594.17</v>
      </c>
      <c r="N19" s="34" t="n">
        <f aca="false">D19*M19</f>
        <v>8912.55</v>
      </c>
      <c r="O19" s="127" t="n">
        <f aca="false">AVERAGE(G19,J19,M19)</f>
        <v>598.89</v>
      </c>
      <c r="P19" s="36" t="n">
        <f aca="false">E19*100/O19-100</f>
        <v>0</v>
      </c>
      <c r="Q19" s="127" t="n">
        <f aca="false">D19*E19</f>
        <v>8983.35</v>
      </c>
      <c r="R19" s="37"/>
      <c r="T19" s="39" t="n">
        <f aca="false">ROUND(G19*100/O19-100,0)</f>
        <v>-7</v>
      </c>
      <c r="U19" s="39" t="n">
        <f aca="false">ROUND(J19*100/O19-100,0)</f>
        <v>8</v>
      </c>
      <c r="V19" s="39" t="n">
        <f aca="false">ROUND(M19*100/O19-100,0)</f>
        <v>-1</v>
      </c>
      <c r="W19" s="85" t="n">
        <f aca="false">O19/1.2</f>
        <v>499.08</v>
      </c>
      <c r="X19" s="85" t="n">
        <f aca="false">O19*1.2</f>
        <v>718.67</v>
      </c>
      <c r="Y19" s="86" t="n">
        <f aca="false">AND((G19)&gt;=MIN(W19),(G19)&lt;=MAX(X19))</f>
        <v>1</v>
      </c>
      <c r="Z19" s="86" t="n">
        <f aca="false">AND((J19)&gt;=MIN(W19),(J19)&lt;=MAX(X19))</f>
        <v>1</v>
      </c>
      <c r="AA19" s="86" t="n">
        <f aca="false">AND((M19)&gt;=MIN(W19),(M19)&lt;=MAX(X19))</f>
        <v>1</v>
      </c>
      <c r="AB19" s="95" t="s">
        <v>979</v>
      </c>
      <c r="AC19" s="88" t="n">
        <f aca="false">696/1.2</f>
        <v>580</v>
      </c>
      <c r="AD19" s="88" t="n">
        <f aca="false">AC19*D19</f>
        <v>8700</v>
      </c>
      <c r="AE19" s="95" t="s">
        <v>980</v>
      </c>
      <c r="AF19" s="88" t="n">
        <f aca="false">778/1.2</f>
        <v>648.33</v>
      </c>
      <c r="AG19" s="89" t="n">
        <f aca="false">AF19*D19</f>
        <v>9724.95</v>
      </c>
      <c r="AH19" s="95" t="s">
        <v>981</v>
      </c>
      <c r="AI19" s="88" t="n">
        <f aca="false">826/1.2</f>
        <v>688.33</v>
      </c>
      <c r="AJ19" s="89" t="n">
        <f aca="false">AI19*D19</f>
        <v>10324.95</v>
      </c>
      <c r="AK19" s="91" t="n">
        <f aca="false">AVERAGE(AC19,AF19,AI19)</f>
        <v>638.89</v>
      </c>
      <c r="AL19" s="91" t="n">
        <f aca="false">((E19-AK19)/AK19)*100</f>
        <v>-6.26</v>
      </c>
      <c r="AM19" s="92" t="n">
        <f aca="false">AK19/1.2</f>
        <v>532.41</v>
      </c>
      <c r="AN19" s="92" t="n">
        <f aca="false">AK19*1.2</f>
        <v>766.67</v>
      </c>
      <c r="AO19" s="86" t="n">
        <f aca="false">AND((AC19)&gt;=MIN(AM19),(AC19)&lt;=MAX(AN19))</f>
        <v>1</v>
      </c>
      <c r="AP19" s="86" t="n">
        <f aca="false">AND((AF19)&gt;=MIN(AM19),(AF19)&lt;=MAX(AN19))</f>
        <v>1</v>
      </c>
      <c r="AQ19" s="86" t="n">
        <f aca="false">AND((AI19)&gt;=MIN(AM19),(AI19)&lt;=MAX(AN19))</f>
        <v>1</v>
      </c>
    </row>
    <row r="20" s="38" customFormat="true" ht="62.25" hidden="false" customHeight="true" outlineLevel="0" collapsed="false">
      <c r="A20" s="28" t="n">
        <v>10</v>
      </c>
      <c r="B20" s="57" t="s">
        <v>59</v>
      </c>
      <c r="C20" s="125" t="s">
        <v>40</v>
      </c>
      <c r="D20" s="125" t="n">
        <v>395</v>
      </c>
      <c r="E20" s="126" t="n">
        <f aca="false">AK20</f>
        <v>69.19</v>
      </c>
      <c r="F20" s="106" t="s">
        <v>60</v>
      </c>
      <c r="G20" s="34" t="n">
        <f aca="false">111.84/1.2</f>
        <v>93.2</v>
      </c>
      <c r="H20" s="34" t="n">
        <f aca="false">D20*G20</f>
        <v>36814</v>
      </c>
      <c r="I20" s="106" t="s">
        <v>61</v>
      </c>
      <c r="J20" s="34" t="n">
        <f aca="false">94.34/1.2</f>
        <v>78.62</v>
      </c>
      <c r="K20" s="34" t="n">
        <f aca="false">D20*J20</f>
        <v>31054.9</v>
      </c>
      <c r="L20" s="106" t="s">
        <v>982</v>
      </c>
      <c r="M20" s="34" t="n">
        <f aca="false">112/1.2</f>
        <v>93.33</v>
      </c>
      <c r="N20" s="34" t="n">
        <f aca="false">D20*M20</f>
        <v>36865.35</v>
      </c>
      <c r="O20" s="127" t="n">
        <f aca="false">AVERAGE(G20,J20,M20)</f>
        <v>88.38</v>
      </c>
      <c r="P20" s="36" t="n">
        <f aca="false">E20*100/O20-100</f>
        <v>-21.7130572527721</v>
      </c>
      <c r="Q20" s="127" t="n">
        <f aca="false">D20*E20</f>
        <v>27330.05</v>
      </c>
      <c r="R20" s="37"/>
      <c r="T20" s="39" t="n">
        <f aca="false">ROUND(G20*100/O20-100,0)</f>
        <v>5</v>
      </c>
      <c r="U20" s="39" t="n">
        <f aca="false">ROUND(J20*100/O20-100,0)</f>
        <v>-11</v>
      </c>
      <c r="V20" s="39" t="n">
        <f aca="false">ROUND(M20*100/O20-100,0)</f>
        <v>6</v>
      </c>
      <c r="W20" s="85" t="n">
        <f aca="false">O20/1.2</f>
        <v>73.65</v>
      </c>
      <c r="X20" s="85" t="n">
        <f aca="false">O20*1.2</f>
        <v>106.06</v>
      </c>
      <c r="Y20" s="86" t="n">
        <f aca="false">AND((G20)&gt;=MIN(W20),(G20)&lt;=MAX(X20))</f>
        <v>1</v>
      </c>
      <c r="Z20" s="86" t="n">
        <f aca="false">AND((J20)&gt;=MIN(W20),(J20)&lt;=MAX(X20))</f>
        <v>1</v>
      </c>
      <c r="AA20" s="86" t="n">
        <f aca="false">AND((M20)&gt;=MIN(W20),(M20)&lt;=MAX(X20))</f>
        <v>1</v>
      </c>
      <c r="AB20" s="95" t="s">
        <v>712</v>
      </c>
      <c r="AC20" s="88" t="n">
        <f aca="false">81.17/1.2</f>
        <v>67.64</v>
      </c>
      <c r="AD20" s="88" t="n">
        <f aca="false">AC20*D20</f>
        <v>26717.8</v>
      </c>
      <c r="AE20" s="95" t="s">
        <v>713</v>
      </c>
      <c r="AF20" s="88" t="n">
        <f aca="false">849.2/10/1.2</f>
        <v>70.77</v>
      </c>
      <c r="AG20" s="89" t="n">
        <f aca="false">AF20*D20</f>
        <v>27954.15</v>
      </c>
      <c r="AH20" s="95" t="s">
        <v>714</v>
      </c>
      <c r="AI20" s="88" t="n">
        <f aca="false">83/1.2</f>
        <v>69.17</v>
      </c>
      <c r="AJ20" s="89" t="n">
        <f aca="false">AI20*D20</f>
        <v>27322.15</v>
      </c>
      <c r="AK20" s="91" t="n">
        <f aca="false">AVERAGE(AC20,AF20,AI20)</f>
        <v>69.19</v>
      </c>
      <c r="AL20" s="91" t="n">
        <f aca="false">((E20-AK20)/AK20)*100</f>
        <v>0</v>
      </c>
      <c r="AM20" s="92" t="n">
        <f aca="false">AK20/1.2</f>
        <v>57.66</v>
      </c>
      <c r="AN20" s="92" t="n">
        <f aca="false">AK20*1.2</f>
        <v>83.03</v>
      </c>
      <c r="AO20" s="86" t="n">
        <f aca="false">AND((AC20)&gt;=MIN(AM20),(AC20)&lt;=MAX(AN20))</f>
        <v>1</v>
      </c>
      <c r="AP20" s="86" t="n">
        <f aca="false">AND((AF20)&gt;=MIN(AM20),(AF20)&lt;=MAX(AN20))</f>
        <v>1</v>
      </c>
      <c r="AQ20" s="86" t="n">
        <f aca="false">AND((AI20)&gt;=MIN(AM20),(AI20)&lt;=MAX(AN20))</f>
        <v>1</v>
      </c>
    </row>
    <row r="21" s="38" customFormat="true" ht="47.25" hidden="false" customHeight="true" outlineLevel="0" collapsed="false">
      <c r="A21" s="28" t="n">
        <v>11</v>
      </c>
      <c r="B21" s="57" t="s">
        <v>63</v>
      </c>
      <c r="C21" s="125" t="s">
        <v>64</v>
      </c>
      <c r="D21" s="125" t="n">
        <v>20</v>
      </c>
      <c r="E21" s="126" t="n">
        <f aca="false">AK21</f>
        <v>235.9</v>
      </c>
      <c r="F21" s="41" t="s">
        <v>65</v>
      </c>
      <c r="G21" s="34" t="n">
        <f aca="false">383/1.2</f>
        <v>319.17</v>
      </c>
      <c r="H21" s="34" t="n">
        <f aca="false">D21*G21</f>
        <v>6383.4</v>
      </c>
      <c r="I21" s="41" t="s">
        <v>66</v>
      </c>
      <c r="J21" s="34" t="n">
        <f aca="false">1464/5/1.2</f>
        <v>244</v>
      </c>
      <c r="K21" s="34" t="n">
        <f aca="false">D21*J21</f>
        <v>4880</v>
      </c>
      <c r="L21" s="41" t="s">
        <v>67</v>
      </c>
      <c r="M21" s="34" t="n">
        <f aca="false">71200/198/1.2</f>
        <v>299.66</v>
      </c>
      <c r="N21" s="34" t="n">
        <f aca="false">D21*M21</f>
        <v>5993.2</v>
      </c>
      <c r="O21" s="127" t="n">
        <f aca="false">AVERAGE(G21,J21,M21)</f>
        <v>287.61</v>
      </c>
      <c r="P21" s="36" t="n">
        <f aca="false">E21*100/O21-100</f>
        <v>-17.9792079552171</v>
      </c>
      <c r="Q21" s="127" t="n">
        <f aca="false">D21*E21</f>
        <v>4718</v>
      </c>
      <c r="R21" s="37"/>
      <c r="T21" s="39" t="n">
        <f aca="false">ROUND(G21*100/O21-100,0)</f>
        <v>11</v>
      </c>
      <c r="U21" s="39" t="n">
        <f aca="false">ROUND(J21*100/O21-100,0)</f>
        <v>-15</v>
      </c>
      <c r="V21" s="39" t="n">
        <f aca="false">ROUND(M21*100/O21-100,0)</f>
        <v>4</v>
      </c>
      <c r="W21" s="85" t="n">
        <f aca="false">O21/1.2</f>
        <v>239.68</v>
      </c>
      <c r="X21" s="85" t="n">
        <f aca="false">O21*1.2</f>
        <v>345.13</v>
      </c>
      <c r="Y21" s="86" t="n">
        <f aca="false">AND((G21)&gt;=MIN(W21),(G21)&lt;=MAX(X21))</f>
        <v>1</v>
      </c>
      <c r="Z21" s="86" t="n">
        <f aca="false">AND((J21)&gt;=MIN(W21),(J21)&lt;=MAX(X21))</f>
        <v>1</v>
      </c>
      <c r="AA21" s="86" t="n">
        <f aca="false">AND((M21)&gt;=MIN(W21),(M21)&lt;=MAX(X21))</f>
        <v>1</v>
      </c>
      <c r="AB21" s="95" t="s">
        <v>716</v>
      </c>
      <c r="AC21" s="88" t="n">
        <f aca="false">1168/1.2/4</f>
        <v>243.33</v>
      </c>
      <c r="AD21" s="88" t="n">
        <f aca="false">AC21*D21</f>
        <v>4866.6</v>
      </c>
      <c r="AE21" s="95" t="s">
        <v>717</v>
      </c>
      <c r="AF21" s="88" t="n">
        <f aca="false">1004/4/1.2</f>
        <v>209.17</v>
      </c>
      <c r="AG21" s="89" t="n">
        <f aca="false">AF21*D21</f>
        <v>4183.4</v>
      </c>
      <c r="AH21" s="95" t="s">
        <v>718</v>
      </c>
      <c r="AI21" s="88" t="n">
        <f aca="false">1225/1.2/4</f>
        <v>255.21</v>
      </c>
      <c r="AJ21" s="89" t="n">
        <f aca="false">AI21*D21</f>
        <v>5104.2</v>
      </c>
      <c r="AK21" s="91" t="n">
        <f aca="false">AVERAGE(AC21,AF21,AI21)</f>
        <v>235.9</v>
      </c>
      <c r="AL21" s="91" t="n">
        <f aca="false">((E21-AK21)/AK21)*100</f>
        <v>0</v>
      </c>
      <c r="AM21" s="92" t="n">
        <f aca="false">AK21/1.2</f>
        <v>196.58</v>
      </c>
      <c r="AN21" s="92" t="n">
        <f aca="false">AK21*1.2</f>
        <v>283.08</v>
      </c>
      <c r="AO21" s="86" t="n">
        <f aca="false">AND((AC21)&gt;=MIN(AM21),(AC21)&lt;=MAX(AN21))</f>
        <v>1</v>
      </c>
      <c r="AP21" s="86" t="n">
        <f aca="false">AND((AF21)&gt;=MIN(AM21),(AF21)&lt;=MAX(AN21))</f>
        <v>1</v>
      </c>
      <c r="AQ21" s="86" t="n">
        <f aca="false">AND((AI21)&gt;=MIN(AM21),(AI21)&lt;=MAX(AN21))</f>
        <v>1</v>
      </c>
    </row>
    <row r="22" s="38" customFormat="true" ht="52.5" hidden="false" customHeight="true" outlineLevel="0" collapsed="false">
      <c r="A22" s="28" t="n">
        <v>12</v>
      </c>
      <c r="B22" s="57" t="s">
        <v>72</v>
      </c>
      <c r="C22" s="125" t="s">
        <v>40</v>
      </c>
      <c r="D22" s="125" t="n">
        <v>25</v>
      </c>
      <c r="E22" s="126" t="n">
        <f aca="false">AK22</f>
        <v>3257.22</v>
      </c>
      <c r="F22" s="142" t="s">
        <v>73</v>
      </c>
      <c r="G22" s="34" t="n">
        <f aca="false">3636/1.2</f>
        <v>3030</v>
      </c>
      <c r="H22" s="34" t="n">
        <f aca="false">D22*G22</f>
        <v>75750</v>
      </c>
      <c r="I22" s="42" t="s">
        <v>74</v>
      </c>
      <c r="J22" s="34" t="n">
        <f aca="false">3910/1.2</f>
        <v>3258.33</v>
      </c>
      <c r="K22" s="34" t="n">
        <f aca="false">D22*J22</f>
        <v>81458.25</v>
      </c>
      <c r="L22" s="42" t="s">
        <v>75</v>
      </c>
      <c r="M22" s="34" t="n">
        <f aca="false">4360/1.2</f>
        <v>3633.33</v>
      </c>
      <c r="N22" s="34" t="n">
        <f aca="false">D22*M22</f>
        <v>90833.25</v>
      </c>
      <c r="O22" s="127" t="n">
        <f aca="false">AVERAGE(G22,J22,M22)</f>
        <v>3307.22</v>
      </c>
      <c r="P22" s="36" t="n">
        <f aca="false">E22*100/O22-100</f>
        <v>-1.51184378420545</v>
      </c>
      <c r="Q22" s="127" t="n">
        <f aca="false">D22*E22</f>
        <v>81430.5</v>
      </c>
      <c r="R22" s="37"/>
      <c r="T22" s="39" t="n">
        <f aca="false">ROUND(G22*100/O22-100,0)</f>
        <v>-8</v>
      </c>
      <c r="U22" s="39" t="n">
        <f aca="false">ROUND(J22*100/O22-100,0)</f>
        <v>-1</v>
      </c>
      <c r="V22" s="39" t="n">
        <f aca="false">ROUND(M22*100/O22-100,0)</f>
        <v>10</v>
      </c>
      <c r="W22" s="85" t="n">
        <f aca="false">O22/1.2</f>
        <v>2756.02</v>
      </c>
      <c r="X22" s="85" t="n">
        <f aca="false">O22*1.2</f>
        <v>3968.66</v>
      </c>
      <c r="Y22" s="86" t="n">
        <f aca="false">AND((G22)&gt;=MIN(W22),(G22)&lt;=MAX(X22))</f>
        <v>1</v>
      </c>
      <c r="Z22" s="86" t="n">
        <f aca="false">AND((J22)&gt;=MIN(W22),(J22)&lt;=MAX(X22))</f>
        <v>1</v>
      </c>
      <c r="AA22" s="86" t="n">
        <f aca="false">AND((M22)&gt;=MIN(W22),(M22)&lt;=MAX(X22))</f>
        <v>1</v>
      </c>
      <c r="AB22" s="95" t="s">
        <v>724</v>
      </c>
      <c r="AC22" s="88" t="n">
        <f aca="false">3730/1.2</f>
        <v>3108.33</v>
      </c>
      <c r="AD22" s="88" t="n">
        <f aca="false">AC22*D22</f>
        <v>77708.25</v>
      </c>
      <c r="AE22" s="95" t="s">
        <v>725</v>
      </c>
      <c r="AF22" s="88" t="n">
        <f aca="false">3636/1.2</f>
        <v>3030</v>
      </c>
      <c r="AG22" s="89" t="n">
        <f aca="false">AF22*D22</f>
        <v>75750</v>
      </c>
      <c r="AH22" s="95" t="s">
        <v>726</v>
      </c>
      <c r="AI22" s="88" t="n">
        <f aca="false">4360/1.2</f>
        <v>3633.33</v>
      </c>
      <c r="AJ22" s="89" t="n">
        <f aca="false">AI22*D22</f>
        <v>90833.25</v>
      </c>
      <c r="AK22" s="91" t="n">
        <f aca="false">AVERAGE(AC22,AF22,AI22)</f>
        <v>3257.22</v>
      </c>
      <c r="AL22" s="91" t="n">
        <f aca="false">((E22-AK22)/AK22)*100</f>
        <v>0</v>
      </c>
      <c r="AM22" s="92" t="n">
        <f aca="false">AK22/1.2</f>
        <v>2714.35</v>
      </c>
      <c r="AN22" s="92" t="n">
        <f aca="false">AK22*1.2</f>
        <v>3908.66</v>
      </c>
      <c r="AO22" s="86" t="n">
        <f aca="false">AND((AC22)&gt;=MIN(AM22),(AC22)&lt;=MAX(AN22))</f>
        <v>1</v>
      </c>
      <c r="AP22" s="86" t="n">
        <f aca="false">AND((AF22)&gt;=MIN(AM22),(AF22)&lt;=MAX(AN22))</f>
        <v>1</v>
      </c>
      <c r="AQ22" s="86" t="n">
        <f aca="false">AND((AI22)&gt;=MIN(AM22),(AI22)&lt;=MAX(AN22))</f>
        <v>1</v>
      </c>
    </row>
    <row r="23" s="38" customFormat="true" ht="45" hidden="false" customHeight="true" outlineLevel="0" collapsed="false">
      <c r="A23" s="28" t="n">
        <v>13</v>
      </c>
      <c r="B23" s="57" t="s">
        <v>77</v>
      </c>
      <c r="C23" s="125" t="s">
        <v>40</v>
      </c>
      <c r="D23" s="125" t="n">
        <v>25</v>
      </c>
      <c r="E23" s="126" t="n">
        <f aca="false">AK23</f>
        <v>1732.78</v>
      </c>
      <c r="F23" s="106" t="s">
        <v>983</v>
      </c>
      <c r="G23" s="34" t="n">
        <f aca="false">3180/1.2</f>
        <v>2650</v>
      </c>
      <c r="H23" s="34" t="n">
        <f aca="false">D23*G23</f>
        <v>66250</v>
      </c>
      <c r="I23" s="106" t="s">
        <v>984</v>
      </c>
      <c r="J23" s="34" t="n">
        <f aca="false">3100/1.2</f>
        <v>2583.33</v>
      </c>
      <c r="K23" s="34" t="n">
        <f aca="false">D23*J23</f>
        <v>64583.25</v>
      </c>
      <c r="L23" s="106" t="s">
        <v>729</v>
      </c>
      <c r="M23" s="34" t="n">
        <f aca="false">3210/1.2</f>
        <v>2675</v>
      </c>
      <c r="N23" s="34" t="n">
        <f aca="false">D23*M23</f>
        <v>66875</v>
      </c>
      <c r="O23" s="127" t="n">
        <f aca="false">AVERAGE(G23,J23,M23)</f>
        <v>2636.11</v>
      </c>
      <c r="P23" s="36" t="n">
        <f aca="false">E23*100/O23-100</f>
        <v>-34.2675381528085</v>
      </c>
      <c r="Q23" s="127" t="n">
        <f aca="false">D23*E23</f>
        <v>43319.5</v>
      </c>
      <c r="R23" s="37"/>
      <c r="T23" s="39" t="n">
        <f aca="false">ROUND(G23*100/O23-100,0)</f>
        <v>1</v>
      </c>
      <c r="U23" s="39" t="n">
        <f aca="false">ROUND(J23*100/O23-100,0)</f>
        <v>-2</v>
      </c>
      <c r="V23" s="39" t="n">
        <f aca="false">ROUND(M23*100/O23-100,0)</f>
        <v>1</v>
      </c>
      <c r="W23" s="85" t="n">
        <f aca="false">O23/1.2</f>
        <v>2196.76</v>
      </c>
      <c r="X23" s="85" t="n">
        <f aca="false">O23*1.2</f>
        <v>3163.33</v>
      </c>
      <c r="Y23" s="86" t="n">
        <f aca="false">AND((G23)&gt;=MIN(W23),(G23)&lt;=MAX(X23))</f>
        <v>1</v>
      </c>
      <c r="Z23" s="86" t="n">
        <f aca="false">AND((J23)&gt;=MIN(W23),(J23)&lt;=MAX(X23))</f>
        <v>1</v>
      </c>
      <c r="AA23" s="86" t="n">
        <f aca="false">AND((M23)&gt;=MIN(W23),(M23)&lt;=MAX(X23))</f>
        <v>1</v>
      </c>
      <c r="AB23" s="95" t="s">
        <v>727</v>
      </c>
      <c r="AC23" s="88" t="n">
        <f aca="false">1971/1.2</f>
        <v>1642.5</v>
      </c>
      <c r="AD23" s="88" t="n">
        <f aca="false">AC23*D23</f>
        <v>41062.5</v>
      </c>
      <c r="AE23" s="95" t="s">
        <v>728</v>
      </c>
      <c r="AF23" s="88" t="n">
        <f aca="false">2066/1.2</f>
        <v>1721.67</v>
      </c>
      <c r="AG23" s="89" t="n">
        <f aca="false">AF23*D23</f>
        <v>43041.75</v>
      </c>
      <c r="AH23" s="95" t="s">
        <v>729</v>
      </c>
      <c r="AI23" s="88" t="n">
        <f aca="false">2201/1.2</f>
        <v>1834.17</v>
      </c>
      <c r="AJ23" s="89" t="n">
        <f aca="false">AI23*D23</f>
        <v>45854.25</v>
      </c>
      <c r="AK23" s="91" t="n">
        <f aca="false">AVERAGE(AC23,AF23,AI23)</f>
        <v>1732.78</v>
      </c>
      <c r="AL23" s="91" t="n">
        <f aca="false">((E23-AK23)/AK23)*100</f>
        <v>0</v>
      </c>
      <c r="AM23" s="92" t="n">
        <f aca="false">AK23/1.2</f>
        <v>1443.98</v>
      </c>
      <c r="AN23" s="92" t="n">
        <f aca="false">AK23*1.2</f>
        <v>2079.34</v>
      </c>
      <c r="AO23" s="86" t="n">
        <f aca="false">AND((AC23)&gt;=MIN(AM23),(AC23)&lt;=MAX(AN23))</f>
        <v>1</v>
      </c>
      <c r="AP23" s="86" t="n">
        <f aca="false">AND((AF23)&gt;=MIN(AM23),(AF23)&lt;=MAX(AN23))</f>
        <v>1</v>
      </c>
      <c r="AQ23" s="86" t="n">
        <f aca="false">AND((AI23)&gt;=MIN(AM23),(AI23)&lt;=MAX(AN23))</f>
        <v>1</v>
      </c>
    </row>
    <row r="24" s="38" customFormat="true" ht="29.25" hidden="false" customHeight="true" outlineLevel="0" collapsed="false">
      <c r="A24" s="28" t="n">
        <v>14</v>
      </c>
      <c r="B24" s="57" t="s">
        <v>81</v>
      </c>
      <c r="C24" s="125" t="s">
        <v>40</v>
      </c>
      <c r="D24" s="125" t="n">
        <v>5</v>
      </c>
      <c r="E24" s="126" t="n">
        <f aca="false">O24</f>
        <v>42083.33</v>
      </c>
      <c r="F24" s="142" t="s">
        <v>82</v>
      </c>
      <c r="G24" s="34" t="n">
        <f aca="false">55900/1.2</f>
        <v>46583.33</v>
      </c>
      <c r="H24" s="34" t="n">
        <f aca="false">D24*G24</f>
        <v>232916.65</v>
      </c>
      <c r="I24" s="42" t="s">
        <v>83</v>
      </c>
      <c r="J24" s="34" t="n">
        <f aca="false">47800/1.2</f>
        <v>39833.33</v>
      </c>
      <c r="K24" s="34" t="n">
        <f aca="false">D24*J24</f>
        <v>199166.65</v>
      </c>
      <c r="L24" s="42" t="s">
        <v>84</v>
      </c>
      <c r="M24" s="34" t="n">
        <f aca="false">47800/1.2</f>
        <v>39833.33</v>
      </c>
      <c r="N24" s="34" t="n">
        <f aca="false">D24*M24</f>
        <v>199166.65</v>
      </c>
      <c r="O24" s="127" t="n">
        <f aca="false">AVERAGE(G24,J24,M24)</f>
        <v>42083.33</v>
      </c>
      <c r="P24" s="36" t="n">
        <f aca="false">E24*100/O24-100</f>
        <v>0</v>
      </c>
      <c r="Q24" s="127" t="n">
        <f aca="false">D24*E24</f>
        <v>210416.65</v>
      </c>
      <c r="R24" s="37"/>
      <c r="T24" s="39" t="n">
        <f aca="false">ROUND(G24*100/O24-100,0)</f>
        <v>11</v>
      </c>
      <c r="U24" s="39" t="n">
        <f aca="false">ROUND(J24*100/O24-100,0)</f>
        <v>-5</v>
      </c>
      <c r="V24" s="39" t="n">
        <f aca="false">ROUND(M24*100/O24-100,0)</f>
        <v>-5</v>
      </c>
      <c r="W24" s="85" t="n">
        <f aca="false">O24/1.2</f>
        <v>35069.44</v>
      </c>
      <c r="X24" s="85" t="n">
        <f aca="false">O24*1.2</f>
        <v>50500</v>
      </c>
      <c r="Y24" s="86" t="n">
        <f aca="false">AND((G24)&gt;=MIN(W24),(G24)&lt;=MAX(X24))</f>
        <v>1</v>
      </c>
      <c r="Z24" s="86" t="n">
        <f aca="false">AND((J24)&gt;=MIN(W24),(J24)&lt;=MAX(X24))</f>
        <v>1</v>
      </c>
      <c r="AA24" s="86" t="n">
        <f aca="false">AND((M24)&gt;=MIN(W24),(M24)&lt;=MAX(X24))</f>
        <v>1</v>
      </c>
      <c r="AB24" s="95" t="s">
        <v>84</v>
      </c>
      <c r="AC24" s="88" t="n">
        <f aca="false">47800/1.2</f>
        <v>39833.33</v>
      </c>
      <c r="AD24" s="88" t="n">
        <f aca="false">AC24*D24</f>
        <v>199166.65</v>
      </c>
      <c r="AE24" s="95" t="s">
        <v>82</v>
      </c>
      <c r="AF24" s="88" t="n">
        <f aca="false">55900/1.2</f>
        <v>46583.33</v>
      </c>
      <c r="AG24" s="89" t="n">
        <f aca="false">AF24*D24</f>
        <v>232916.65</v>
      </c>
      <c r="AH24" s="95" t="s">
        <v>83</v>
      </c>
      <c r="AI24" s="88" t="n">
        <f aca="false">47800/1.2</f>
        <v>39833.33</v>
      </c>
      <c r="AJ24" s="89" t="n">
        <f aca="false">AI24*D24</f>
        <v>199166.65</v>
      </c>
      <c r="AK24" s="91" t="n">
        <f aca="false">AVERAGE(AC24,AF24,AI24)</f>
        <v>42083.33</v>
      </c>
      <c r="AL24" s="91" t="n">
        <f aca="false">((E24-AK24)/AK24)*100</f>
        <v>0</v>
      </c>
      <c r="AM24" s="92" t="n">
        <f aca="false">AK24/1.2</f>
        <v>35069.44</v>
      </c>
      <c r="AN24" s="92" t="n">
        <f aca="false">AK24*1.2</f>
        <v>50500</v>
      </c>
      <c r="AO24" s="86" t="n">
        <f aca="false">AND((AC24)&gt;=MIN(AM24),(AC24)&lt;=MAX(AN24))</f>
        <v>1</v>
      </c>
      <c r="AP24" s="86" t="n">
        <f aca="false">AND((AF24)&gt;=MIN(AM24),(AF24)&lt;=MAX(AN24))</f>
        <v>1</v>
      </c>
      <c r="AQ24" s="86" t="n">
        <f aca="false">AND((AI24)&gt;=MIN(AM24),(AI24)&lt;=MAX(AN24))</f>
        <v>1</v>
      </c>
    </row>
    <row r="25" s="38" customFormat="true" ht="29.25" hidden="false" customHeight="true" outlineLevel="0" collapsed="false">
      <c r="A25" s="28" t="n">
        <v>15</v>
      </c>
      <c r="B25" s="57" t="s">
        <v>85</v>
      </c>
      <c r="C25" s="125" t="s">
        <v>40</v>
      </c>
      <c r="D25" s="125" t="n">
        <v>5</v>
      </c>
      <c r="E25" s="126" t="n">
        <f aca="false">O25</f>
        <v>34708.33</v>
      </c>
      <c r="F25" s="106" t="s">
        <v>86</v>
      </c>
      <c r="G25" s="34" t="n">
        <f aca="false">41650/1.2</f>
        <v>34708.33</v>
      </c>
      <c r="H25" s="34" t="n">
        <f aca="false">D25*G25</f>
        <v>173541.65</v>
      </c>
      <c r="I25" s="106" t="s">
        <v>87</v>
      </c>
      <c r="J25" s="34" t="n">
        <f aca="false">41650/1.2</f>
        <v>34708.33</v>
      </c>
      <c r="K25" s="34" t="n">
        <f aca="false">D25*J25</f>
        <v>173541.65</v>
      </c>
      <c r="L25" s="33" t="s">
        <v>88</v>
      </c>
      <c r="M25" s="34" t="n">
        <f aca="false">41650/1.2</f>
        <v>34708.33</v>
      </c>
      <c r="N25" s="34" t="n">
        <f aca="false">D25*M25</f>
        <v>173541.65</v>
      </c>
      <c r="O25" s="127" t="n">
        <f aca="false">AVERAGE(G25,J25,M25)</f>
        <v>34708.33</v>
      </c>
      <c r="P25" s="36" t="n">
        <f aca="false">E25*100/O25-100</f>
        <v>0</v>
      </c>
      <c r="Q25" s="127" t="n">
        <f aca="false">D25*E25</f>
        <v>173541.65</v>
      </c>
      <c r="R25" s="37"/>
      <c r="T25" s="39" t="n">
        <f aca="false">ROUND(G25*100/O25-100,0)</f>
        <v>0</v>
      </c>
      <c r="U25" s="39" t="n">
        <f aca="false">ROUND(J25*100/O25-100,0)</f>
        <v>0</v>
      </c>
      <c r="V25" s="39" t="n">
        <f aca="false">ROUND(M25*100/O25-100,0)</f>
        <v>0</v>
      </c>
      <c r="W25" s="85" t="n">
        <f aca="false">O25/1.2</f>
        <v>28923.61</v>
      </c>
      <c r="X25" s="85" t="n">
        <f aca="false">O25*1.2</f>
        <v>41650</v>
      </c>
      <c r="Y25" s="86" t="n">
        <f aca="false">AND((G25)&gt;=MIN(W25),(G25)&lt;=MAX(X25))</f>
        <v>1</v>
      </c>
      <c r="Z25" s="86" t="n">
        <f aca="false">AND((J25)&gt;=MIN(W25),(J25)&lt;=MAX(X25))</f>
        <v>1</v>
      </c>
      <c r="AA25" s="86" t="n">
        <f aca="false">AND((M25)&gt;=MIN(W25),(M25)&lt;=MAX(X25))</f>
        <v>1</v>
      </c>
      <c r="AB25" s="95" t="s">
        <v>86</v>
      </c>
      <c r="AC25" s="88" t="n">
        <f aca="false">45800/1.2</f>
        <v>38166.67</v>
      </c>
      <c r="AD25" s="88" t="n">
        <f aca="false">AC25*D25</f>
        <v>190833.35</v>
      </c>
      <c r="AE25" s="95" t="s">
        <v>87</v>
      </c>
      <c r="AF25" s="88" t="n">
        <f aca="false">45800/1.2</f>
        <v>38166.67</v>
      </c>
      <c r="AG25" s="89" t="n">
        <f aca="false">AF25*D25</f>
        <v>190833.35</v>
      </c>
      <c r="AH25" s="95" t="s">
        <v>88</v>
      </c>
      <c r="AI25" s="88" t="n">
        <f aca="false">45800/1.2</f>
        <v>38166.67</v>
      </c>
      <c r="AJ25" s="89" t="n">
        <f aca="false">AI25*D25</f>
        <v>190833.35</v>
      </c>
      <c r="AK25" s="91" t="n">
        <f aca="false">AVERAGE(AC25,AF25,AI25)</f>
        <v>38166.67</v>
      </c>
      <c r="AL25" s="91" t="n">
        <f aca="false">((E25-AK25)/AK25)*100</f>
        <v>-9.06</v>
      </c>
      <c r="AM25" s="92" t="n">
        <f aca="false">AK25/1.2</f>
        <v>31805.56</v>
      </c>
      <c r="AN25" s="92" t="n">
        <f aca="false">AK25*1.2</f>
        <v>45800</v>
      </c>
      <c r="AO25" s="86" t="n">
        <f aca="false">AND((AC25)&gt;=MIN(AM25),(AC25)&lt;=MAX(AN25))</f>
        <v>1</v>
      </c>
      <c r="AP25" s="86" t="n">
        <f aca="false">AND((AF25)&gt;=MIN(AM25),(AF25)&lt;=MAX(AN25))</f>
        <v>1</v>
      </c>
      <c r="AQ25" s="86" t="n">
        <f aca="false">AND((AI25)&gt;=MIN(AM25),(AI25)&lt;=MAX(AN25))</f>
        <v>1</v>
      </c>
    </row>
    <row r="26" s="38" customFormat="true" ht="36.75" hidden="false" customHeight="true" outlineLevel="0" collapsed="false">
      <c r="A26" s="28" t="n">
        <v>16</v>
      </c>
      <c r="B26" s="57" t="s">
        <v>129</v>
      </c>
      <c r="C26" s="125" t="s">
        <v>40</v>
      </c>
      <c r="D26" s="125" t="n">
        <v>20</v>
      </c>
      <c r="E26" s="126" t="n">
        <v>1783.06</v>
      </c>
      <c r="F26" s="106" t="s">
        <v>985</v>
      </c>
      <c r="G26" s="34" t="n">
        <f aca="false">2332/1.2</f>
        <v>1943.33</v>
      </c>
      <c r="H26" s="34" t="n">
        <f aca="false">D26*G26</f>
        <v>38866.6</v>
      </c>
      <c r="I26" s="106" t="s">
        <v>275</v>
      </c>
      <c r="J26" s="34" t="n">
        <f aca="false">2534/1.2</f>
        <v>2111.67</v>
      </c>
      <c r="K26" s="34" t="n">
        <f aca="false">D26*J26</f>
        <v>42233.4</v>
      </c>
      <c r="L26" s="106" t="s">
        <v>986</v>
      </c>
      <c r="M26" s="34" t="n">
        <f aca="false">2177/1.2</f>
        <v>1814.17</v>
      </c>
      <c r="N26" s="34" t="n">
        <f aca="false">D26*M26</f>
        <v>36283.4</v>
      </c>
      <c r="O26" s="127" t="n">
        <f aca="false">AVERAGE(G26,J26,M26)</f>
        <v>1956.39</v>
      </c>
      <c r="P26" s="36" t="n">
        <f aca="false">E26*100/O26-100</f>
        <v>-8.85968544104192</v>
      </c>
      <c r="Q26" s="127" t="n">
        <f aca="false">D26*E26</f>
        <v>35661.2</v>
      </c>
      <c r="R26" s="37"/>
      <c r="T26" s="39" t="n">
        <f aca="false">ROUND(G26*100/O26-100,0)</f>
        <v>-1</v>
      </c>
      <c r="U26" s="39" t="n">
        <f aca="false">ROUND(J26*100/O26-100,0)</f>
        <v>8</v>
      </c>
      <c r="V26" s="39" t="n">
        <f aca="false">ROUND(M26*100/O26-100,0)</f>
        <v>-7</v>
      </c>
      <c r="W26" s="85" t="n">
        <f aca="false">O26/1.2</f>
        <v>1630.33</v>
      </c>
      <c r="X26" s="85" t="n">
        <f aca="false">O26*1.2</f>
        <v>2347.67</v>
      </c>
      <c r="Y26" s="86" t="n">
        <f aca="false">AND((G26)&gt;=MIN(W26),(G26)&lt;=MAX(X26))</f>
        <v>1</v>
      </c>
      <c r="Z26" s="86" t="n">
        <f aca="false">AND((J26)&gt;=MIN(W26),(J26)&lt;=MAX(X26))</f>
        <v>1</v>
      </c>
      <c r="AA26" s="86" t="n">
        <f aca="false">AND((M26)&gt;=MIN(W26),(M26)&lt;=MAX(X26))</f>
        <v>1</v>
      </c>
      <c r="AB26" s="95" t="s">
        <v>987</v>
      </c>
      <c r="AC26" s="88" t="n">
        <f aca="false">2177/1.2</f>
        <v>1814.17</v>
      </c>
      <c r="AD26" s="88" t="n">
        <f aca="false">AC26*D26</f>
        <v>36283.4</v>
      </c>
      <c r="AE26" s="95" t="s">
        <v>988</v>
      </c>
      <c r="AF26" s="88" t="n">
        <f aca="false">2322/1.2</f>
        <v>1935</v>
      </c>
      <c r="AG26" s="89" t="n">
        <f aca="false">AF26*D26</f>
        <v>38700</v>
      </c>
      <c r="AH26" s="95" t="s">
        <v>989</v>
      </c>
      <c r="AI26" s="88" t="n">
        <f aca="false">1920/1.2</f>
        <v>1600</v>
      </c>
      <c r="AJ26" s="89" t="n">
        <f aca="false">AI26*D26</f>
        <v>32000</v>
      </c>
      <c r="AK26" s="91" t="n">
        <f aca="false">AVERAGE(AC26,AF26,AI26)</f>
        <v>1783.06</v>
      </c>
      <c r="AL26" s="91" t="n">
        <f aca="false">((E26-AK26)/AK26)*100</f>
        <v>0</v>
      </c>
      <c r="AM26" s="92" t="n">
        <f aca="false">AK26/1.2</f>
        <v>1485.88</v>
      </c>
      <c r="AN26" s="92" t="n">
        <f aca="false">AK26*1.2</f>
        <v>2139.67</v>
      </c>
      <c r="AO26" s="86" t="n">
        <f aca="false">AND((AC26)&gt;=MIN(AM26),(AC26)&lt;=MAX(AN26))</f>
        <v>1</v>
      </c>
      <c r="AP26" s="86" t="n">
        <f aca="false">AND((AF26)&gt;=MIN(AM26),(AF26)&lt;=MAX(AN26))</f>
        <v>1</v>
      </c>
      <c r="AQ26" s="86" t="n">
        <f aca="false">AND((AI26)&gt;=MIN(AM26),(AI26)&lt;=MAX(AN26))</f>
        <v>1</v>
      </c>
    </row>
    <row r="27" s="38" customFormat="true" ht="51.75" hidden="false" customHeight="true" outlineLevel="0" collapsed="false">
      <c r="A27" s="28" t="n">
        <v>17</v>
      </c>
      <c r="B27" s="57" t="s">
        <v>137</v>
      </c>
      <c r="C27" s="125" t="s">
        <v>27</v>
      </c>
      <c r="D27" s="125" t="n">
        <v>18.75</v>
      </c>
      <c r="E27" s="126" t="n">
        <f aca="false">O27</f>
        <v>375</v>
      </c>
      <c r="F27" s="106" t="s">
        <v>138</v>
      </c>
      <c r="G27" s="34" t="n">
        <f aca="false">450/1.2</f>
        <v>375</v>
      </c>
      <c r="H27" s="34" t="n">
        <f aca="false">D27*G27</f>
        <v>7031.25</v>
      </c>
      <c r="I27" s="33" t="s">
        <v>139</v>
      </c>
      <c r="J27" s="34" t="n">
        <f aca="false">450/1.2</f>
        <v>375</v>
      </c>
      <c r="K27" s="34" t="n">
        <f aca="false">D27*J27</f>
        <v>7031.25</v>
      </c>
      <c r="L27" s="33" t="s">
        <v>140</v>
      </c>
      <c r="M27" s="34" t="n">
        <f aca="false">450/1.2</f>
        <v>375</v>
      </c>
      <c r="N27" s="34" t="n">
        <f aca="false">D27*M27</f>
        <v>7031.25</v>
      </c>
      <c r="O27" s="127" t="n">
        <f aca="false">AVERAGE(G27,J27,M27)</f>
        <v>375</v>
      </c>
      <c r="P27" s="36" t="n">
        <f aca="false">E27*100/O27-100</f>
        <v>0</v>
      </c>
      <c r="Q27" s="127" t="n">
        <f aca="false">D27*E27</f>
        <v>7031.25</v>
      </c>
      <c r="R27" s="37"/>
      <c r="T27" s="39" t="n">
        <f aca="false">ROUND(G27*100/O27-100,0)</f>
        <v>0</v>
      </c>
      <c r="U27" s="39" t="n">
        <f aca="false">ROUND(J27*100/O27-100,0)</f>
        <v>0</v>
      </c>
      <c r="V27" s="39" t="n">
        <f aca="false">ROUND(M27*100/O27-100,0)</f>
        <v>0</v>
      </c>
      <c r="W27" s="85" t="n">
        <f aca="false">O27/1.2</f>
        <v>312.5</v>
      </c>
      <c r="X27" s="85" t="n">
        <f aca="false">O27*1.2</f>
        <v>450</v>
      </c>
      <c r="Y27" s="86" t="n">
        <f aca="false">AND((G27)&gt;=MIN(W27),(G27)&lt;=MAX(X27))</f>
        <v>1</v>
      </c>
      <c r="Z27" s="86" t="n">
        <f aca="false">AND((J27)&gt;=MIN(W27),(J27)&lt;=MAX(X27))</f>
        <v>1</v>
      </c>
      <c r="AA27" s="86" t="n">
        <f aca="false">AND((M27)&gt;=MIN(W27),(M27)&lt;=MAX(X27))</f>
        <v>1</v>
      </c>
      <c r="AB27" s="95" t="s">
        <v>139</v>
      </c>
      <c r="AC27" s="88" t="n">
        <f aca="false">450/1.2</f>
        <v>375</v>
      </c>
      <c r="AD27" s="88" t="n">
        <f aca="false">AC27*D27</f>
        <v>7031.25</v>
      </c>
      <c r="AE27" s="95" t="s">
        <v>138</v>
      </c>
      <c r="AF27" s="88" t="n">
        <f aca="false">450/1.2</f>
        <v>375</v>
      </c>
      <c r="AG27" s="89" t="n">
        <f aca="false">AF27*D27</f>
        <v>7031.25</v>
      </c>
      <c r="AH27" s="95" t="s">
        <v>140</v>
      </c>
      <c r="AI27" s="88" t="n">
        <f aca="false">450/1.2</f>
        <v>375</v>
      </c>
      <c r="AJ27" s="89" t="n">
        <f aca="false">AI27*D27</f>
        <v>7031.25</v>
      </c>
      <c r="AK27" s="91" t="n">
        <f aca="false">AVERAGE(AC27,AF27,AI27)</f>
        <v>375</v>
      </c>
      <c r="AL27" s="91" t="n">
        <f aca="false">((E27-AK27)/AK27)*100</f>
        <v>0</v>
      </c>
      <c r="AM27" s="92" t="n">
        <f aca="false">AK27/1.2</f>
        <v>312.5</v>
      </c>
      <c r="AN27" s="92" t="n">
        <f aca="false">AK27*1.2</f>
        <v>450</v>
      </c>
      <c r="AO27" s="86" t="n">
        <f aca="false">AND((AC27)&gt;=MIN(AM27),(AC27)&lt;=MAX(AN27))</f>
        <v>1</v>
      </c>
      <c r="AP27" s="86" t="n">
        <f aca="false">AND((AF27)&gt;=MIN(AM27),(AF27)&lt;=MAX(AN27))</f>
        <v>1</v>
      </c>
      <c r="AQ27" s="86" t="n">
        <f aca="false">AND((AI27)&gt;=MIN(AM27),(AI27)&lt;=MAX(AN27))</f>
        <v>1</v>
      </c>
    </row>
    <row r="28" s="38" customFormat="true" ht="54" hidden="false" customHeight="true" outlineLevel="0" collapsed="false">
      <c r="A28" s="28" t="n">
        <v>18</v>
      </c>
      <c r="B28" s="57" t="s">
        <v>141</v>
      </c>
      <c r="C28" s="125" t="s">
        <v>27</v>
      </c>
      <c r="D28" s="125" t="n">
        <v>3018</v>
      </c>
      <c r="E28" s="126" t="n">
        <f aca="false">O28</f>
        <v>375</v>
      </c>
      <c r="F28" s="106" t="s">
        <v>138</v>
      </c>
      <c r="G28" s="34" t="n">
        <f aca="false">450/1.2</f>
        <v>375</v>
      </c>
      <c r="H28" s="34" t="n">
        <f aca="false">D28*G28</f>
        <v>1131750</v>
      </c>
      <c r="I28" s="33" t="s">
        <v>139</v>
      </c>
      <c r="J28" s="34" t="n">
        <f aca="false">450/1.2</f>
        <v>375</v>
      </c>
      <c r="K28" s="34" t="n">
        <f aca="false">D28*J28</f>
        <v>1131750</v>
      </c>
      <c r="L28" s="33" t="s">
        <v>140</v>
      </c>
      <c r="M28" s="34" t="n">
        <f aca="false">450/1.2</f>
        <v>375</v>
      </c>
      <c r="N28" s="34" t="n">
        <f aca="false">D28*M28</f>
        <v>1131750</v>
      </c>
      <c r="O28" s="127" t="n">
        <f aca="false">AVERAGE(G28,J28,M28)</f>
        <v>375</v>
      </c>
      <c r="P28" s="36" t="n">
        <f aca="false">E28*100/O28-100</f>
        <v>0</v>
      </c>
      <c r="Q28" s="127" t="n">
        <f aca="false">D28*E28</f>
        <v>1131750</v>
      </c>
      <c r="R28" s="37"/>
      <c r="T28" s="39" t="n">
        <f aca="false">ROUND(G28*100/O28-100,0)</f>
        <v>0</v>
      </c>
      <c r="U28" s="39" t="n">
        <f aca="false">ROUND(J28*100/O28-100,0)</f>
        <v>0</v>
      </c>
      <c r="V28" s="39" t="n">
        <f aca="false">ROUND(M28*100/O28-100,0)</f>
        <v>0</v>
      </c>
      <c r="W28" s="85" t="n">
        <f aca="false">O28/1.2</f>
        <v>312.5</v>
      </c>
      <c r="X28" s="85" t="n">
        <f aca="false">O28*1.2</f>
        <v>450</v>
      </c>
      <c r="Y28" s="86" t="n">
        <f aca="false">AND((G28)&gt;=MIN(W28),(G28)&lt;=MAX(X28))</f>
        <v>1</v>
      </c>
      <c r="Z28" s="86" t="n">
        <f aca="false">AND((J28)&gt;=MIN(W28),(J28)&lt;=MAX(X28))</f>
        <v>1</v>
      </c>
      <c r="AA28" s="86" t="n">
        <f aca="false">AND((M28)&gt;=MIN(W28),(M28)&lt;=MAX(X28))</f>
        <v>1</v>
      </c>
      <c r="AB28" s="95" t="s">
        <v>139</v>
      </c>
      <c r="AC28" s="88" t="n">
        <f aca="false">450/1.2</f>
        <v>375</v>
      </c>
      <c r="AD28" s="88" t="n">
        <f aca="false">AC28*D28</f>
        <v>1131750</v>
      </c>
      <c r="AE28" s="95" t="s">
        <v>733</v>
      </c>
      <c r="AF28" s="88" t="n">
        <f aca="false">450/1.2</f>
        <v>375</v>
      </c>
      <c r="AG28" s="89" t="n">
        <f aca="false">AF28*D28</f>
        <v>1131750</v>
      </c>
      <c r="AH28" s="95" t="s">
        <v>734</v>
      </c>
      <c r="AI28" s="88" t="n">
        <f aca="false">450/1.2</f>
        <v>375</v>
      </c>
      <c r="AJ28" s="89" t="n">
        <f aca="false">AI28*D28</f>
        <v>1131750</v>
      </c>
      <c r="AK28" s="91" t="n">
        <f aca="false">AVERAGE(AC28,AF28,AI28)</f>
        <v>375</v>
      </c>
      <c r="AL28" s="91" t="n">
        <f aca="false">((E28-AK28)/AK28)*100</f>
        <v>0</v>
      </c>
      <c r="AM28" s="92" t="n">
        <f aca="false">AK28/1.2</f>
        <v>312.5</v>
      </c>
      <c r="AN28" s="92" t="n">
        <f aca="false">AK28*1.2</f>
        <v>450</v>
      </c>
      <c r="AO28" s="86" t="n">
        <f aca="false">AND((AC28)&gt;=MIN(AM28),(AC28)&lt;=MAX(AN28))</f>
        <v>1</v>
      </c>
      <c r="AP28" s="86" t="n">
        <f aca="false">AND((AF28)&gt;=MIN(AM28),(AF28)&lt;=MAX(AN28))</f>
        <v>1</v>
      </c>
      <c r="AQ28" s="86" t="n">
        <f aca="false">AND((AI28)&gt;=MIN(AM28),(AI28)&lt;=MAX(AN28))</f>
        <v>1</v>
      </c>
    </row>
    <row r="29" s="38" customFormat="true" ht="46.5" hidden="false" customHeight="true" outlineLevel="0" collapsed="false">
      <c r="A29" s="28" t="n">
        <v>19</v>
      </c>
      <c r="B29" s="57" t="s">
        <v>142</v>
      </c>
      <c r="C29" s="125" t="s">
        <v>143</v>
      </c>
      <c r="D29" s="125" t="n">
        <v>25</v>
      </c>
      <c r="E29" s="126" t="n">
        <f aca="false">AK29</f>
        <v>645.83</v>
      </c>
      <c r="F29" s="95" t="s">
        <v>144</v>
      </c>
      <c r="G29" s="34" t="n">
        <f aca="false">1917/1.2</f>
        <v>1597.5</v>
      </c>
      <c r="H29" s="34" t="n">
        <f aca="false">D29*G29</f>
        <v>39937.5</v>
      </c>
      <c r="I29" s="95" t="s">
        <v>145</v>
      </c>
      <c r="J29" s="34" t="n">
        <f aca="false">1780/1.2</f>
        <v>1483.33</v>
      </c>
      <c r="K29" s="34" t="n">
        <f aca="false">D29*J29</f>
        <v>37083.25</v>
      </c>
      <c r="L29" s="95" t="s">
        <v>146</v>
      </c>
      <c r="M29" s="34" t="n">
        <f aca="false">1778/1.2</f>
        <v>1481.67</v>
      </c>
      <c r="N29" s="34" t="n">
        <f aca="false">D29*M29</f>
        <v>37041.75</v>
      </c>
      <c r="O29" s="127" t="n">
        <f aca="false">AVERAGE(G29,J29,M29)</f>
        <v>1520.83</v>
      </c>
      <c r="P29" s="36" t="n">
        <f aca="false">E29*100/O29-100</f>
        <v>-57.5343726780771</v>
      </c>
      <c r="Q29" s="127" t="n">
        <f aca="false">D29*E29</f>
        <v>16145.75</v>
      </c>
      <c r="R29" s="37"/>
      <c r="T29" s="39" t="n">
        <f aca="false">ROUND(G29*100/O29-100,0)</f>
        <v>5</v>
      </c>
      <c r="U29" s="39" t="n">
        <f aca="false">ROUND(J29*100/O29-100,0)</f>
        <v>-2</v>
      </c>
      <c r="V29" s="39" t="n">
        <f aca="false">ROUND(M29*100/O29-100,0)</f>
        <v>-3</v>
      </c>
      <c r="W29" s="85" t="n">
        <f aca="false">O29/1.2</f>
        <v>1267.36</v>
      </c>
      <c r="X29" s="85" t="n">
        <f aca="false">O29*1.2</f>
        <v>1825</v>
      </c>
      <c r="Y29" s="86" t="n">
        <f aca="false">AND((G29)&gt;=MIN(W29),(G29)&lt;=MAX(X29))</f>
        <v>1</v>
      </c>
      <c r="Z29" s="86" t="n">
        <f aca="false">AND((J29)&gt;=MIN(W29),(J29)&lt;=MAX(X29))</f>
        <v>1</v>
      </c>
      <c r="AA29" s="86" t="n">
        <f aca="false">AND((M29)&gt;=MIN(W29),(M29)&lt;=MAX(X29))</f>
        <v>1</v>
      </c>
      <c r="AB29" s="95" t="s">
        <v>735</v>
      </c>
      <c r="AC29" s="88" t="n">
        <f aca="false">740/1.2</f>
        <v>616.67</v>
      </c>
      <c r="AD29" s="88" t="n">
        <f aca="false">AC29*D29</f>
        <v>15416.75</v>
      </c>
      <c r="AE29" s="95" t="s">
        <v>736</v>
      </c>
      <c r="AF29" s="88" t="n">
        <f aca="false">790/1.2</f>
        <v>658.33</v>
      </c>
      <c r="AG29" s="89" t="n">
        <f aca="false">AF29*D29</f>
        <v>16458.25</v>
      </c>
      <c r="AH29" s="95" t="s">
        <v>737</v>
      </c>
      <c r="AI29" s="88" t="n">
        <f aca="false">795/1.2</f>
        <v>662.5</v>
      </c>
      <c r="AJ29" s="89" t="n">
        <f aca="false">AI29*D29</f>
        <v>16562.5</v>
      </c>
      <c r="AK29" s="91" t="n">
        <f aca="false">AVERAGE(AC29,AF29,AI29)</f>
        <v>645.83</v>
      </c>
      <c r="AL29" s="91" t="n">
        <f aca="false">((E29-AK29)/AK29)*100</f>
        <v>0</v>
      </c>
      <c r="AM29" s="92" t="n">
        <f aca="false">AK29/1.2</f>
        <v>538.19</v>
      </c>
      <c r="AN29" s="92" t="n">
        <f aca="false">AK29*1.2</f>
        <v>775</v>
      </c>
      <c r="AO29" s="86" t="n">
        <f aca="false">AND((AC29)&gt;=MIN(AM29),(AC29)&lt;=MAX(AN29))</f>
        <v>1</v>
      </c>
      <c r="AP29" s="86" t="n">
        <f aca="false">AND((AF29)&gt;=MIN(AM29),(AF29)&lt;=MAX(AN29))</f>
        <v>1</v>
      </c>
      <c r="AQ29" s="86" t="n">
        <f aca="false">AND((AI29)&gt;=MIN(AM29),(AI29)&lt;=MAX(AN29))</f>
        <v>1</v>
      </c>
    </row>
    <row r="30" s="38" customFormat="true" ht="46.5" hidden="false" customHeight="true" outlineLevel="0" collapsed="false">
      <c r="A30" s="28" t="n">
        <v>20</v>
      </c>
      <c r="B30" s="57" t="s">
        <v>147</v>
      </c>
      <c r="C30" s="125" t="s">
        <v>143</v>
      </c>
      <c r="D30" s="125" t="n">
        <v>20</v>
      </c>
      <c r="E30" s="126" t="n">
        <f aca="false">O30</f>
        <v>541.11</v>
      </c>
      <c r="F30" s="95" t="s">
        <v>148</v>
      </c>
      <c r="G30" s="34" t="n">
        <f aca="false">641/1.2</f>
        <v>534.17</v>
      </c>
      <c r="H30" s="34" t="n">
        <f aca="false">D30*G30</f>
        <v>10683.4</v>
      </c>
      <c r="I30" s="95" t="s">
        <v>149</v>
      </c>
      <c r="J30" s="34" t="n">
        <f aca="false">679/1.2</f>
        <v>565.83</v>
      </c>
      <c r="K30" s="34" t="n">
        <f aca="false">D30*J30</f>
        <v>11316.6</v>
      </c>
      <c r="L30" s="95" t="s">
        <v>150</v>
      </c>
      <c r="M30" s="34" t="n">
        <f aca="false">628/1.2</f>
        <v>523.33</v>
      </c>
      <c r="N30" s="34" t="n">
        <f aca="false">D30*M30</f>
        <v>10466.6</v>
      </c>
      <c r="O30" s="127" t="n">
        <f aca="false">AVERAGE(G30,J30,M30)</f>
        <v>541.11</v>
      </c>
      <c r="P30" s="36" t="n">
        <f aca="false">E30*100/O30-100</f>
        <v>0</v>
      </c>
      <c r="Q30" s="127" t="n">
        <f aca="false">D30*E30</f>
        <v>10822.2</v>
      </c>
      <c r="R30" s="37"/>
      <c r="T30" s="39" t="n">
        <f aca="false">ROUND(G30*100/O30-100,0)</f>
        <v>-1</v>
      </c>
      <c r="U30" s="39" t="n">
        <f aca="false">ROUND(J30*100/O30-100,0)</f>
        <v>5</v>
      </c>
      <c r="V30" s="39" t="n">
        <f aca="false">ROUND(M30*100/O30-100,0)</f>
        <v>-3</v>
      </c>
      <c r="W30" s="85" t="n">
        <f aca="false">O30/1.2</f>
        <v>450.93</v>
      </c>
      <c r="X30" s="85" t="n">
        <f aca="false">O30*1.2</f>
        <v>649.33</v>
      </c>
      <c r="Y30" s="86" t="n">
        <f aca="false">AND((G30)&gt;=MIN(W30),(G30)&lt;=MAX(X30))</f>
        <v>1</v>
      </c>
      <c r="Z30" s="86" t="n">
        <f aca="false">AND((J30)&gt;=MIN(W30),(J30)&lt;=MAX(X30))</f>
        <v>1</v>
      </c>
      <c r="AA30" s="86" t="n">
        <f aca="false">AND((M30)&gt;=MIN(W30),(M30)&lt;=MAX(X30))</f>
        <v>1</v>
      </c>
      <c r="AB30" s="95" t="s">
        <v>738</v>
      </c>
      <c r="AC30" s="88" t="n">
        <f aca="false">625/1.2</f>
        <v>520.83</v>
      </c>
      <c r="AD30" s="88" t="n">
        <f aca="false">AC30*D30</f>
        <v>10416.6</v>
      </c>
      <c r="AE30" s="95" t="s">
        <v>739</v>
      </c>
      <c r="AF30" s="88" t="n">
        <f aca="false">687/1.2</f>
        <v>572.5</v>
      </c>
      <c r="AG30" s="89" t="n">
        <f aca="false">AF30*D30</f>
        <v>11450</v>
      </c>
      <c r="AH30" s="95" t="s">
        <v>740</v>
      </c>
      <c r="AI30" s="88" t="n">
        <f aca="false">679/1.2</f>
        <v>565.83</v>
      </c>
      <c r="AJ30" s="89" t="n">
        <f aca="false">AI30*D30</f>
        <v>11316.6</v>
      </c>
      <c r="AK30" s="91" t="n">
        <f aca="false">AVERAGE(AC30,AF30,AI30)</f>
        <v>553.05</v>
      </c>
      <c r="AL30" s="91" t="n">
        <f aca="false">((E30-AK30)/AK30)*100</f>
        <v>-2.16</v>
      </c>
      <c r="AM30" s="92" t="n">
        <f aca="false">AK30/1.2</f>
        <v>460.88</v>
      </c>
      <c r="AN30" s="92" t="n">
        <f aca="false">AK30*1.2</f>
        <v>663.66</v>
      </c>
      <c r="AO30" s="86" t="n">
        <f aca="false">AND((AC30)&gt;=MIN(AM30),(AC30)&lt;=MAX(AN30))</f>
        <v>1</v>
      </c>
      <c r="AP30" s="86" t="n">
        <f aca="false">AND((AF30)&gt;=MIN(AM30),(AF30)&lt;=MAX(AN30))</f>
        <v>1</v>
      </c>
      <c r="AQ30" s="86" t="n">
        <f aca="false">AND((AI30)&gt;=MIN(AM30),(AI30)&lt;=MAX(AN30))</f>
        <v>1</v>
      </c>
    </row>
    <row r="31" s="38" customFormat="true" ht="51" hidden="false" customHeight="true" outlineLevel="0" collapsed="false">
      <c r="A31" s="28" t="n">
        <v>21</v>
      </c>
      <c r="B31" s="57" t="s">
        <v>151</v>
      </c>
      <c r="C31" s="125" t="s">
        <v>143</v>
      </c>
      <c r="D31" s="125" t="n">
        <v>5</v>
      </c>
      <c r="E31" s="126" t="n">
        <f aca="false">O31</f>
        <v>652.78</v>
      </c>
      <c r="F31" s="95" t="s">
        <v>152</v>
      </c>
      <c r="G31" s="34" t="n">
        <f aca="false">740/1.2</f>
        <v>616.67</v>
      </c>
      <c r="H31" s="34" t="n">
        <f aca="false">D31*G31</f>
        <v>3083.35</v>
      </c>
      <c r="I31" s="95" t="s">
        <v>153</v>
      </c>
      <c r="J31" s="34" t="n">
        <f aca="false">740/1.2</f>
        <v>616.67</v>
      </c>
      <c r="K31" s="34" t="n">
        <f aca="false">D31*J31</f>
        <v>3083.35</v>
      </c>
      <c r="L31" s="95" t="s">
        <v>154</v>
      </c>
      <c r="M31" s="34" t="n">
        <f aca="false">870/1.2</f>
        <v>725</v>
      </c>
      <c r="N31" s="34" t="n">
        <f aca="false">D31*M31</f>
        <v>3625</v>
      </c>
      <c r="O31" s="127" t="n">
        <f aca="false">AVERAGE(G31,J31,M31)</f>
        <v>652.78</v>
      </c>
      <c r="P31" s="36" t="n">
        <f aca="false">E31*100/O31-100</f>
        <v>0</v>
      </c>
      <c r="Q31" s="127" t="n">
        <f aca="false">D31*E31</f>
        <v>3263.9</v>
      </c>
      <c r="R31" s="37"/>
      <c r="T31" s="39" t="n">
        <f aca="false">ROUND(G31*100/O31-100,0)</f>
        <v>-6</v>
      </c>
      <c r="U31" s="39" t="n">
        <f aca="false">ROUND(J31*100/O31-100,0)</f>
        <v>-6</v>
      </c>
      <c r="V31" s="39" t="n">
        <f aca="false">ROUND(M31*100/O31-100,0)</f>
        <v>11</v>
      </c>
      <c r="W31" s="85" t="n">
        <f aca="false">O31/1.2</f>
        <v>543.98</v>
      </c>
      <c r="X31" s="85" t="n">
        <f aca="false">O31*1.2</f>
        <v>783.34</v>
      </c>
      <c r="Y31" s="86" t="n">
        <f aca="false">AND((G31)&gt;=MIN(W31),(G31)&lt;=MAX(X31))</f>
        <v>1</v>
      </c>
      <c r="Z31" s="86" t="n">
        <f aca="false">AND((J31)&gt;=MIN(W31),(J31)&lt;=MAX(X31))</f>
        <v>1</v>
      </c>
      <c r="AA31" s="86" t="n">
        <f aca="false">AND((M31)&gt;=MIN(W31),(M31)&lt;=MAX(X31))</f>
        <v>1</v>
      </c>
      <c r="AB31" s="95" t="s">
        <v>741</v>
      </c>
      <c r="AC31" s="88" t="n">
        <f aca="false">985/1.2</f>
        <v>820.83</v>
      </c>
      <c r="AD31" s="88" t="n">
        <f aca="false">AC31*D31</f>
        <v>4104.15</v>
      </c>
      <c r="AE31" s="49" t="s">
        <v>153</v>
      </c>
      <c r="AF31" s="88" t="n">
        <f aca="false">740/1.2</f>
        <v>616.67</v>
      </c>
      <c r="AG31" s="89" t="n">
        <f aca="false">AF31*D31</f>
        <v>3083.35</v>
      </c>
      <c r="AH31" s="95" t="s">
        <v>742</v>
      </c>
      <c r="AI31" s="88" t="n">
        <f aca="false">740/1.2</f>
        <v>616.67</v>
      </c>
      <c r="AJ31" s="89" t="n">
        <f aca="false">AI31*D31</f>
        <v>3083.35</v>
      </c>
      <c r="AK31" s="91" t="n">
        <f aca="false">AVERAGE(AC31,AF31,AI31)</f>
        <v>684.72</v>
      </c>
      <c r="AL31" s="91" t="n">
        <f aca="false">((E31-AK31)/AK31)*100</f>
        <v>-4.66</v>
      </c>
      <c r="AM31" s="92" t="n">
        <f aca="false">AK31/1.2</f>
        <v>570.6</v>
      </c>
      <c r="AN31" s="92" t="n">
        <f aca="false">AK31*1.2</f>
        <v>821.66</v>
      </c>
      <c r="AO31" s="86" t="n">
        <f aca="false">AND((AC31)&gt;=MIN(AM31),(AC31)&lt;=MAX(AN31))</f>
        <v>1</v>
      </c>
      <c r="AP31" s="86" t="n">
        <f aca="false">AND((AF31)&gt;=MIN(AM31),(AF31)&lt;=MAX(AN31))</f>
        <v>1</v>
      </c>
      <c r="AQ31" s="86" t="n">
        <f aca="false">AND((AI31)&gt;=MIN(AM31),(AI31)&lt;=MAX(AN31))</f>
        <v>1</v>
      </c>
    </row>
    <row r="32" s="38" customFormat="true" ht="36.75" hidden="false" customHeight="true" outlineLevel="0" collapsed="false">
      <c r="A32" s="28" t="n">
        <v>22</v>
      </c>
      <c r="B32" s="57" t="s">
        <v>159</v>
      </c>
      <c r="C32" s="125" t="s">
        <v>64</v>
      </c>
      <c r="D32" s="125" t="n">
        <v>657.5</v>
      </c>
      <c r="E32" s="126" t="n">
        <f aca="false">AK32</f>
        <v>139.8</v>
      </c>
      <c r="F32" s="95" t="s">
        <v>990</v>
      </c>
      <c r="G32" s="34" t="n">
        <f aca="false">255.2/1.2</f>
        <v>212.67</v>
      </c>
      <c r="H32" s="34" t="n">
        <f aca="false">D32*G32</f>
        <v>139830.53</v>
      </c>
      <c r="I32" s="95" t="s">
        <v>991</v>
      </c>
      <c r="J32" s="34" t="n">
        <f aca="false">240/1.2</f>
        <v>200</v>
      </c>
      <c r="K32" s="34" t="n">
        <f aca="false">D32*J32</f>
        <v>131500</v>
      </c>
      <c r="L32" s="95" t="s">
        <v>992</v>
      </c>
      <c r="M32" s="34" t="n">
        <f aca="false">254/1.2</f>
        <v>211.67</v>
      </c>
      <c r="N32" s="34" t="n">
        <f aca="false">D32*M32</f>
        <v>139173.03</v>
      </c>
      <c r="O32" s="127" t="n">
        <f aca="false">AVERAGE(G32,J32,M32)</f>
        <v>208.11</v>
      </c>
      <c r="P32" s="36" t="n">
        <f aca="false">E32*100/O32-100</f>
        <v>-32.823987314401</v>
      </c>
      <c r="Q32" s="127" t="n">
        <f aca="false">D32*E32</f>
        <v>91918.5</v>
      </c>
      <c r="R32" s="37"/>
      <c r="T32" s="39" t="n">
        <f aca="false">ROUND(G32*100/O32-100,0)</f>
        <v>2</v>
      </c>
      <c r="U32" s="39" t="n">
        <f aca="false">ROUND(J32*100/O32-100,0)</f>
        <v>-4</v>
      </c>
      <c r="V32" s="39" t="n">
        <f aca="false">ROUND(M32*100/O32-100,0)</f>
        <v>2</v>
      </c>
      <c r="W32" s="85" t="n">
        <f aca="false">O32/1.2</f>
        <v>173.43</v>
      </c>
      <c r="X32" s="85" t="n">
        <f aca="false">O32*1.2</f>
        <v>249.73</v>
      </c>
      <c r="Y32" s="86" t="n">
        <f aca="false">AND((G32)&gt;=MIN(W32),(G32)&lt;=MAX(X32))</f>
        <v>1</v>
      </c>
      <c r="Z32" s="86" t="n">
        <f aca="false">AND((J32)&gt;=MIN(W32),(J32)&lt;=MAX(X32))</f>
        <v>1</v>
      </c>
      <c r="AA32" s="86" t="n">
        <f aca="false">AND((M32)&gt;=MIN(W32),(M32)&lt;=MAX(X32))</f>
        <v>1</v>
      </c>
      <c r="AB32" s="87" t="s">
        <v>744</v>
      </c>
      <c r="AC32" s="88" t="n">
        <f aca="false">1840/1.2/10</f>
        <v>153.33</v>
      </c>
      <c r="AD32" s="88" t="n">
        <f aca="false">AC32*D32</f>
        <v>100814.48</v>
      </c>
      <c r="AE32" s="95" t="s">
        <v>745</v>
      </c>
      <c r="AF32" s="88" t="n">
        <f aca="false">1603/1.2/10</f>
        <v>133.58</v>
      </c>
      <c r="AG32" s="89" t="n">
        <f aca="false">AF32*D32</f>
        <v>87828.85</v>
      </c>
      <c r="AH32" s="95" t="s">
        <v>746</v>
      </c>
      <c r="AI32" s="88" t="n">
        <f aca="false">1590/1.2/10</f>
        <v>132.5</v>
      </c>
      <c r="AJ32" s="89" t="n">
        <f aca="false">AI32*D32</f>
        <v>87118.75</v>
      </c>
      <c r="AK32" s="91" t="n">
        <f aca="false">AVERAGE(AC32,AF32,AI32)</f>
        <v>139.8</v>
      </c>
      <c r="AL32" s="91" t="n">
        <f aca="false">((E32-AK32)/AK32)*100</f>
        <v>0</v>
      </c>
      <c r="AM32" s="92" t="n">
        <f aca="false">AK32/1.2</f>
        <v>116.5</v>
      </c>
      <c r="AN32" s="92" t="n">
        <f aca="false">AK32*1.2</f>
        <v>167.76</v>
      </c>
      <c r="AO32" s="86" t="n">
        <f aca="false">AND((AC32)&gt;=MIN(AM32),(AC32)&lt;=MAX(AN32))</f>
        <v>1</v>
      </c>
      <c r="AP32" s="86" t="n">
        <f aca="false">AND((AF32)&gt;=MIN(AM32),(AF32)&lt;=MAX(AN32))</f>
        <v>1</v>
      </c>
      <c r="AQ32" s="86" t="n">
        <f aca="false">AND((AI32)&gt;=MIN(AM32),(AI32)&lt;=MAX(AN32))</f>
        <v>1</v>
      </c>
    </row>
    <row r="33" s="38" customFormat="true" ht="39.75" hidden="false" customHeight="true" outlineLevel="0" collapsed="false">
      <c r="A33" s="28" t="n">
        <v>23</v>
      </c>
      <c r="B33" s="57" t="s">
        <v>216</v>
      </c>
      <c r="C33" s="125" t="s">
        <v>64</v>
      </c>
      <c r="D33" s="125" t="n">
        <v>107.9</v>
      </c>
      <c r="E33" s="126" t="n">
        <f aca="false">O33</f>
        <v>432.64</v>
      </c>
      <c r="F33" s="106" t="s">
        <v>217</v>
      </c>
      <c r="G33" s="34" t="n">
        <f aca="false">525/1.2</f>
        <v>437.5</v>
      </c>
      <c r="H33" s="34" t="n">
        <f aca="false">D33*G33</f>
        <v>47206.25</v>
      </c>
      <c r="I33" s="106" t="s">
        <v>218</v>
      </c>
      <c r="J33" s="34" t="n">
        <f aca="false">529/1.2</f>
        <v>440.83</v>
      </c>
      <c r="K33" s="34" t="n">
        <f aca="false">D33*J33</f>
        <v>47565.56</v>
      </c>
      <c r="L33" s="106" t="s">
        <v>219</v>
      </c>
      <c r="M33" s="34" t="n">
        <f aca="false">503.5/1.2</f>
        <v>419.58</v>
      </c>
      <c r="N33" s="34" t="n">
        <f aca="false">D33*M33</f>
        <v>45272.68</v>
      </c>
      <c r="O33" s="127" t="n">
        <f aca="false">AVERAGE(G33,J33,M33)</f>
        <v>432.64</v>
      </c>
      <c r="P33" s="36" t="n">
        <f aca="false">E33*100/O33-100</f>
        <v>0</v>
      </c>
      <c r="Q33" s="127" t="n">
        <f aca="false">D33*E33</f>
        <v>46681.86</v>
      </c>
      <c r="R33" s="37"/>
      <c r="T33" s="39" t="n">
        <f aca="false">ROUND(G33*100/O33-100,0)</f>
        <v>1</v>
      </c>
      <c r="U33" s="39" t="n">
        <f aca="false">ROUND(J33*100/O33-100,0)</f>
        <v>2</v>
      </c>
      <c r="V33" s="39" t="n">
        <f aca="false">ROUND(M33*100/O33-100,0)</f>
        <v>-3</v>
      </c>
      <c r="W33" s="85" t="n">
        <f aca="false">O33/1.2</f>
        <v>360.53</v>
      </c>
      <c r="X33" s="85" t="n">
        <f aca="false">O33*1.2</f>
        <v>519.17</v>
      </c>
      <c r="Y33" s="86" t="n">
        <f aca="false">AND((G33)&gt;=MIN(W33),(G33)&lt;=MAX(X33))</f>
        <v>1</v>
      </c>
      <c r="Z33" s="86" t="n">
        <f aca="false">AND((J33)&gt;=MIN(W33),(J33)&lt;=MAX(X33))</f>
        <v>1</v>
      </c>
      <c r="AA33" s="86" t="n">
        <f aca="false">AND((M33)&gt;=MIN(W33),(M33)&lt;=MAX(X33))</f>
        <v>1</v>
      </c>
      <c r="AB33" s="95" t="s">
        <v>812</v>
      </c>
      <c r="AC33" s="88" t="n">
        <f aca="false">555/1.2</f>
        <v>462.5</v>
      </c>
      <c r="AD33" s="88" t="n">
        <f aca="false">AC33*D33</f>
        <v>49903.75</v>
      </c>
      <c r="AE33" s="95" t="s">
        <v>813</v>
      </c>
      <c r="AF33" s="88" t="n">
        <f aca="false">525/1.2</f>
        <v>437.5</v>
      </c>
      <c r="AG33" s="89" t="n">
        <f aca="false">AF33*D33</f>
        <v>47206.25</v>
      </c>
      <c r="AH33" s="95" t="s">
        <v>814</v>
      </c>
      <c r="AI33" s="88" t="n">
        <f aca="false">500/1.2</f>
        <v>416.67</v>
      </c>
      <c r="AJ33" s="89" t="n">
        <f aca="false">AI33*D33</f>
        <v>44958.69</v>
      </c>
      <c r="AK33" s="91" t="n">
        <f aca="false">AVERAGE(AC33,AF33,AI33)</f>
        <v>438.89</v>
      </c>
      <c r="AL33" s="91" t="n">
        <f aca="false">((E33-AK33)/AK33)*100</f>
        <v>-1.42</v>
      </c>
      <c r="AM33" s="92" t="n">
        <f aca="false">AK33/1.2</f>
        <v>365.74</v>
      </c>
      <c r="AN33" s="92" t="n">
        <f aca="false">AK33*1.2</f>
        <v>526.67</v>
      </c>
      <c r="AO33" s="86" t="n">
        <f aca="false">AND((AC33)&gt;=MIN(AM33),(AC33)&lt;=MAX(AN33))</f>
        <v>1</v>
      </c>
      <c r="AP33" s="86" t="n">
        <f aca="false">AND((AF33)&gt;=MIN(AM33),(AF33)&lt;=MAX(AN33))</f>
        <v>1</v>
      </c>
      <c r="AQ33" s="86" t="n">
        <f aca="false">AND((AI33)&gt;=MIN(AM33),(AI33)&lt;=MAX(AN33))</f>
        <v>1</v>
      </c>
    </row>
    <row r="34" s="38" customFormat="true" ht="39.75" hidden="false" customHeight="true" outlineLevel="0" collapsed="false">
      <c r="A34" s="143" t="n">
        <v>24</v>
      </c>
      <c r="B34" s="144" t="s">
        <v>220</v>
      </c>
      <c r="C34" s="145" t="s">
        <v>27</v>
      </c>
      <c r="D34" s="145" t="n">
        <v>1961</v>
      </c>
      <c r="E34" s="126" t="n">
        <f aca="false">AK34</f>
        <v>374.82</v>
      </c>
      <c r="F34" s="142" t="s">
        <v>221</v>
      </c>
      <c r="G34" s="34" t="n">
        <f aca="false">81400/180/1.2</f>
        <v>376.85</v>
      </c>
      <c r="H34" s="34" t="n">
        <f aca="false">D34*G34</f>
        <v>739002.85</v>
      </c>
      <c r="I34" s="42" t="s">
        <v>222</v>
      </c>
      <c r="J34" s="34" t="n">
        <f aca="false">85509/180/1.2</f>
        <v>395.88</v>
      </c>
      <c r="K34" s="34" t="n">
        <f aca="false">D34*J34</f>
        <v>776320.68</v>
      </c>
      <c r="L34" s="42" t="s">
        <v>223</v>
      </c>
      <c r="M34" s="34" t="n">
        <f aca="false">98760/184/1.2</f>
        <v>447.28</v>
      </c>
      <c r="N34" s="34" t="n">
        <f aca="false">D34*M34</f>
        <v>877116.08</v>
      </c>
      <c r="O34" s="127" t="n">
        <f aca="false">AVERAGE(G34,J34,M34)</f>
        <v>406.67</v>
      </c>
      <c r="P34" s="36" t="n">
        <f aca="false">E34*100/O34-100</f>
        <v>-7.83190301718838</v>
      </c>
      <c r="Q34" s="127" t="n">
        <f aca="false">D34*E34</f>
        <v>735022.02</v>
      </c>
      <c r="R34" s="37"/>
      <c r="T34" s="39" t="n">
        <f aca="false">ROUND(G34*100/O34-100,0)</f>
        <v>-7</v>
      </c>
      <c r="U34" s="39" t="n">
        <f aca="false">ROUND(J34*100/O34-100,0)</f>
        <v>-3</v>
      </c>
      <c r="V34" s="39" t="n">
        <f aca="false">ROUND(M34*100/O34-100,0)</f>
        <v>10</v>
      </c>
      <c r="W34" s="85" t="n">
        <f aca="false">O34/1.2</f>
        <v>338.89</v>
      </c>
      <c r="X34" s="85" t="n">
        <f aca="false">O34*1.2</f>
        <v>488</v>
      </c>
      <c r="Y34" s="86" t="n">
        <f aca="false">AND((G34)&gt;=MIN(W34),(G34)&lt;=MAX(X34))</f>
        <v>1</v>
      </c>
      <c r="Z34" s="86" t="n">
        <f aca="false">AND((J34)&gt;=MIN(W34),(J34)&lt;=MAX(X34))</f>
        <v>1</v>
      </c>
      <c r="AA34" s="86" t="n">
        <f aca="false">AND((M34)&gt;=MIN(W34),(M34)&lt;=MAX(X34))</f>
        <v>1</v>
      </c>
      <c r="AB34" s="95" t="s">
        <v>815</v>
      </c>
      <c r="AC34" s="88" t="n">
        <f aca="false">73827/180/1.2</f>
        <v>341.79</v>
      </c>
      <c r="AD34" s="88" t="n">
        <f aca="false">AC34*D34</f>
        <v>670250.19</v>
      </c>
      <c r="AE34" s="95" t="s">
        <v>816</v>
      </c>
      <c r="AF34" s="88" t="n">
        <f aca="false">83960/1.2/180</f>
        <v>388.7</v>
      </c>
      <c r="AG34" s="89" t="n">
        <f aca="false">AF34*D34</f>
        <v>762240.7</v>
      </c>
      <c r="AH34" s="95" t="s">
        <v>817</v>
      </c>
      <c r="AI34" s="88" t="n">
        <f aca="false">85100/180/1.2</f>
        <v>393.98</v>
      </c>
      <c r="AJ34" s="89" t="n">
        <f aca="false">AI34*D34</f>
        <v>772594.78</v>
      </c>
      <c r="AK34" s="91" t="n">
        <f aca="false">AVERAGE(AC34,AF34,AI34)</f>
        <v>374.82</v>
      </c>
      <c r="AL34" s="91" t="n">
        <f aca="false">((E34-AK34)/AK34)*100</f>
        <v>0</v>
      </c>
      <c r="AM34" s="92" t="n">
        <f aca="false">AK34/1.2</f>
        <v>312.35</v>
      </c>
      <c r="AN34" s="92" t="n">
        <f aca="false">AK34*1.2</f>
        <v>449.78</v>
      </c>
      <c r="AO34" s="86" t="n">
        <f aca="false">AND((AC34)&gt;=MIN(AM34),(AC34)&lt;=MAX(AN34))</f>
        <v>1</v>
      </c>
      <c r="AP34" s="86" t="n">
        <f aca="false">AND((AF34)&gt;=MIN(AM34),(AF34)&lt;=MAX(AN34))</f>
        <v>1</v>
      </c>
      <c r="AQ34" s="86" t="n">
        <f aca="false">AND((AI34)&gt;=MIN(AM34),(AI34)&lt;=MAX(AN34))</f>
        <v>1</v>
      </c>
    </row>
    <row r="35" s="38" customFormat="true" ht="39.75" hidden="false" customHeight="true" outlineLevel="0" collapsed="false">
      <c r="A35" s="28" t="n">
        <v>25</v>
      </c>
      <c r="B35" s="57" t="s">
        <v>224</v>
      </c>
      <c r="C35" s="125" t="s">
        <v>64</v>
      </c>
      <c r="D35" s="125" t="n">
        <v>300</v>
      </c>
      <c r="E35" s="126" t="n">
        <f aca="false">O35</f>
        <v>292.33</v>
      </c>
      <c r="F35" s="142" t="s">
        <v>225</v>
      </c>
      <c r="G35" s="34" t="n">
        <f aca="false">1760/5/1.2</f>
        <v>293.33</v>
      </c>
      <c r="H35" s="34" t="n">
        <f aca="false">D35*G35</f>
        <v>87999</v>
      </c>
      <c r="I35" s="42" t="s">
        <v>226</v>
      </c>
      <c r="J35" s="34" t="n">
        <f aca="false">1727/5/1.2</f>
        <v>287.83</v>
      </c>
      <c r="K35" s="34" t="n">
        <f aca="false">D35*J35</f>
        <v>86349</v>
      </c>
      <c r="L35" s="42" t="s">
        <v>227</v>
      </c>
      <c r="M35" s="34" t="n">
        <f aca="false">355/1.2</f>
        <v>295.83</v>
      </c>
      <c r="N35" s="34" t="n">
        <f aca="false">D35*M35</f>
        <v>88749</v>
      </c>
      <c r="O35" s="127" t="n">
        <f aca="false">AVERAGE(G35,J35,M35)</f>
        <v>292.33</v>
      </c>
      <c r="P35" s="36" t="n">
        <f aca="false">E35*100/O35-100</f>
        <v>0</v>
      </c>
      <c r="Q35" s="127" t="n">
        <f aca="false">D35*E35</f>
        <v>87699</v>
      </c>
      <c r="R35" s="37"/>
      <c r="T35" s="39" t="n">
        <f aca="false">ROUND(G35*100/O35-100,0)</f>
        <v>0</v>
      </c>
      <c r="U35" s="39" t="n">
        <f aca="false">ROUND(J35*100/O35-100,0)</f>
        <v>-2</v>
      </c>
      <c r="V35" s="39" t="n">
        <f aca="false">ROUND(M35*100/O35-100,0)</f>
        <v>1</v>
      </c>
      <c r="W35" s="85" t="n">
        <f aca="false">O35/1.2</f>
        <v>243.61</v>
      </c>
      <c r="X35" s="85" t="n">
        <f aca="false">O35*1.2</f>
        <v>350.8</v>
      </c>
      <c r="Y35" s="86" t="n">
        <f aca="false">AND((G35)&gt;=MIN(W35),(G35)&lt;=MAX(X35))</f>
        <v>1</v>
      </c>
      <c r="Z35" s="86" t="n">
        <f aca="false">AND((J35)&gt;=MIN(W35),(J35)&lt;=MAX(X35))</f>
        <v>1</v>
      </c>
      <c r="AA35" s="86" t="n">
        <f aca="false">AND((M35)&gt;=MIN(W35),(M35)&lt;=MAX(X35))</f>
        <v>1</v>
      </c>
      <c r="AB35" s="95" t="s">
        <v>818</v>
      </c>
      <c r="AC35" s="88" t="n">
        <f aca="false">1740/5/1.2</f>
        <v>290</v>
      </c>
      <c r="AD35" s="88" t="n">
        <f aca="false">AC35*D35</f>
        <v>87000</v>
      </c>
      <c r="AE35" s="95" t="s">
        <v>819</v>
      </c>
      <c r="AF35" s="88" t="n">
        <f aca="false">1818/1.2/5</f>
        <v>303</v>
      </c>
      <c r="AG35" s="89" t="n">
        <f aca="false">AF35*D35</f>
        <v>90900</v>
      </c>
      <c r="AH35" s="95" t="s">
        <v>820</v>
      </c>
      <c r="AI35" s="88" t="n">
        <f aca="false">1720/1.2/5</f>
        <v>286.67</v>
      </c>
      <c r="AJ35" s="89" t="n">
        <f aca="false">AI35*D35</f>
        <v>86001</v>
      </c>
      <c r="AK35" s="91" t="n">
        <f aca="false">AVERAGE(AC35,AF35,AI35)</f>
        <v>293.22</v>
      </c>
      <c r="AL35" s="91" t="n">
        <f aca="false">((E35-AK35)/AK35)*100</f>
        <v>-0.3</v>
      </c>
      <c r="AM35" s="92" t="n">
        <f aca="false">AK35/1.2</f>
        <v>244.35</v>
      </c>
      <c r="AN35" s="92" t="n">
        <f aca="false">AK35*1.2</f>
        <v>351.86</v>
      </c>
      <c r="AO35" s="86" t="n">
        <f aca="false">AND((AC35)&gt;=MIN(AM35),(AC35)&lt;=MAX(AN35))</f>
        <v>1</v>
      </c>
      <c r="AP35" s="86" t="n">
        <f aca="false">AND((AF35)&gt;=MIN(AM35),(AF35)&lt;=MAX(AN35))</f>
        <v>1</v>
      </c>
      <c r="AQ35" s="86" t="n">
        <f aca="false">AND((AI35)&gt;=MIN(AM35),(AI35)&lt;=MAX(AN35))</f>
        <v>1</v>
      </c>
    </row>
    <row r="36" s="38" customFormat="true" ht="39.75" hidden="false" customHeight="true" outlineLevel="0" collapsed="false">
      <c r="A36" s="28" t="n">
        <v>26</v>
      </c>
      <c r="B36" s="57" t="s">
        <v>228</v>
      </c>
      <c r="C36" s="125" t="s">
        <v>64</v>
      </c>
      <c r="D36" s="125" t="n">
        <v>212.5</v>
      </c>
      <c r="E36" s="126" t="n">
        <f aca="false">AK36</f>
        <v>283.19</v>
      </c>
      <c r="F36" s="142" t="s">
        <v>229</v>
      </c>
      <c r="G36" s="34" t="n">
        <f aca="false">1866.75/5/1.2</f>
        <v>311.13</v>
      </c>
      <c r="H36" s="34" t="n">
        <f aca="false">D36*G36</f>
        <v>66115.13</v>
      </c>
      <c r="I36" s="42" t="s">
        <v>230</v>
      </c>
      <c r="J36" s="34" t="n">
        <f aca="false">1990/5/1.2</f>
        <v>331.67</v>
      </c>
      <c r="K36" s="34" t="n">
        <f aca="false">D36*J36</f>
        <v>70479.88</v>
      </c>
      <c r="L36" s="42" t="s">
        <v>231</v>
      </c>
      <c r="M36" s="34" t="n">
        <f aca="false">1999.2/5/1.2</f>
        <v>333.2</v>
      </c>
      <c r="N36" s="34" t="n">
        <f aca="false">D36*M36</f>
        <v>70805</v>
      </c>
      <c r="O36" s="127" t="n">
        <f aca="false">AVERAGE(G36,J36,M36)</f>
        <v>325.33</v>
      </c>
      <c r="P36" s="36" t="n">
        <f aca="false">E36*100/O36-100</f>
        <v>-12.953001567639</v>
      </c>
      <c r="Q36" s="127" t="n">
        <f aca="false">D36*E36</f>
        <v>60177.88</v>
      </c>
      <c r="R36" s="37"/>
      <c r="T36" s="39" t="n">
        <f aca="false">ROUND(G36*100/O36-100,0)</f>
        <v>-4</v>
      </c>
      <c r="U36" s="39" t="n">
        <f aca="false">ROUND(J36*100/O36-100,0)</f>
        <v>2</v>
      </c>
      <c r="V36" s="39" t="n">
        <f aca="false">ROUND(M36*100/O36-100,0)</f>
        <v>2</v>
      </c>
      <c r="W36" s="85" t="n">
        <f aca="false">O36/1.2</f>
        <v>271.11</v>
      </c>
      <c r="X36" s="85" t="n">
        <f aca="false">O36*1.2</f>
        <v>390.4</v>
      </c>
      <c r="Y36" s="86" t="n">
        <f aca="false">AND((G36)&gt;=MIN(W36),(G36)&lt;=MAX(X36))</f>
        <v>1</v>
      </c>
      <c r="Z36" s="86" t="n">
        <f aca="false">AND((J36)&gt;=MIN(W36),(J36)&lt;=MAX(X36))</f>
        <v>1</v>
      </c>
      <c r="AA36" s="86" t="n">
        <f aca="false">AND((M36)&gt;=MIN(W36),(M36)&lt;=MAX(X36))</f>
        <v>1</v>
      </c>
      <c r="AB36" s="95" t="s">
        <v>821</v>
      </c>
      <c r="AC36" s="88" t="n">
        <f aca="false">16835/50/1.2</f>
        <v>280.58</v>
      </c>
      <c r="AD36" s="88" t="n">
        <f aca="false">AC36*D36</f>
        <v>59623.25</v>
      </c>
      <c r="AE36" s="95" t="s">
        <v>822</v>
      </c>
      <c r="AF36" s="88" t="n">
        <f aca="false">17413/50/1.2</f>
        <v>290.22</v>
      </c>
      <c r="AG36" s="89" t="n">
        <f aca="false">AF36*D36</f>
        <v>61671.75</v>
      </c>
      <c r="AH36" s="95" t="s">
        <v>823</v>
      </c>
      <c r="AI36" s="88" t="n">
        <f aca="false">16727/1.2/50</f>
        <v>278.78</v>
      </c>
      <c r="AJ36" s="89" t="n">
        <f aca="false">AI36*D36</f>
        <v>59240.75</v>
      </c>
      <c r="AK36" s="91" t="n">
        <f aca="false">AVERAGE(AC36,AF36,AI36)</f>
        <v>283.19</v>
      </c>
      <c r="AL36" s="91" t="n">
        <f aca="false">((E36-AK36)/AK36)*100</f>
        <v>0</v>
      </c>
      <c r="AM36" s="92" t="n">
        <f aca="false">AK36/1.2</f>
        <v>235.99</v>
      </c>
      <c r="AN36" s="92" t="n">
        <f aca="false">AK36*1.2</f>
        <v>339.83</v>
      </c>
      <c r="AO36" s="86" t="n">
        <f aca="false">AND((AC36)&gt;=MIN(AM36),(AC36)&lt;=MAX(AN36))</f>
        <v>1</v>
      </c>
      <c r="AP36" s="86" t="n">
        <f aca="false">AND((AF36)&gt;=MIN(AM36),(AF36)&lt;=MAX(AN36))</f>
        <v>1</v>
      </c>
      <c r="AQ36" s="86" t="n">
        <f aca="false">AND((AI36)&gt;=MIN(AM36),(AI36)&lt;=MAX(AN36))</f>
        <v>1</v>
      </c>
    </row>
    <row r="37" s="38" customFormat="true" ht="62.25" hidden="false" customHeight="true" outlineLevel="0" collapsed="false">
      <c r="A37" s="28" t="n">
        <v>27</v>
      </c>
      <c r="B37" s="57" t="s">
        <v>993</v>
      </c>
      <c r="C37" s="125" t="s">
        <v>143</v>
      </c>
      <c r="D37" s="125" t="n">
        <v>5</v>
      </c>
      <c r="E37" s="126" t="n">
        <f aca="false">O37</f>
        <v>1785.14</v>
      </c>
      <c r="F37" s="106" t="s">
        <v>241</v>
      </c>
      <c r="G37" s="34" t="n">
        <f aca="false">4248/2/1.2</f>
        <v>1770</v>
      </c>
      <c r="H37" s="47" t="n">
        <f aca="false">D37*G37</f>
        <v>8850</v>
      </c>
      <c r="I37" s="106" t="s">
        <v>242</v>
      </c>
      <c r="J37" s="34" t="n">
        <f aca="false">4240/2/1.2</f>
        <v>1766.67</v>
      </c>
      <c r="K37" s="47" t="n">
        <f aca="false">D37*J37</f>
        <v>8833.35</v>
      </c>
      <c r="L37" s="106" t="s">
        <v>243</v>
      </c>
      <c r="M37" s="34" t="n">
        <f aca="false">4365/2/1.2</f>
        <v>1818.75</v>
      </c>
      <c r="N37" s="47" t="n">
        <f aca="false">D37*M37</f>
        <v>9093.75</v>
      </c>
      <c r="O37" s="127" t="n">
        <f aca="false">AVERAGE(G37,J37,M37)</f>
        <v>1785.14</v>
      </c>
      <c r="P37" s="36" t="n">
        <f aca="false">E37*100/O37-100</f>
        <v>0</v>
      </c>
      <c r="Q37" s="127" t="n">
        <f aca="false">D37*E37</f>
        <v>8925.7</v>
      </c>
      <c r="R37" s="37" t="s">
        <v>244</v>
      </c>
      <c r="T37" s="39" t="n">
        <f aca="false">ROUND(G37*100/O37-100,0)</f>
        <v>-1</v>
      </c>
      <c r="U37" s="39" t="n">
        <f aca="false">ROUND(J37*100/O37-100,0)</f>
        <v>-1</v>
      </c>
      <c r="V37" s="39" t="n">
        <f aca="false">ROUND(M37*100/O37-100,0)</f>
        <v>2</v>
      </c>
      <c r="W37" s="85" t="n">
        <f aca="false">O37/1.2</f>
        <v>1487.62</v>
      </c>
      <c r="X37" s="85" t="n">
        <f aca="false">O37*1.2</f>
        <v>2142.17</v>
      </c>
      <c r="Y37" s="86" t="n">
        <f aca="false">AND((G37)&gt;=MIN(W37),(G37)&lt;=MAX(X37))</f>
        <v>1</v>
      </c>
      <c r="Z37" s="86" t="n">
        <f aca="false">AND((J37)&gt;=MIN(W37),(J37)&lt;=MAX(X37))</f>
        <v>1</v>
      </c>
      <c r="AA37" s="86" t="n">
        <f aca="false">AND((M37)&gt;=MIN(W37),(M37)&lt;=MAX(X37))</f>
        <v>1</v>
      </c>
      <c r="AB37" s="95" t="s">
        <v>832</v>
      </c>
      <c r="AC37" s="88" t="n">
        <f aca="false">6985.94/2/1.2</f>
        <v>2910.81</v>
      </c>
      <c r="AD37" s="88" t="n">
        <f aca="false">AC37*D37</f>
        <v>14554.05</v>
      </c>
      <c r="AE37" s="95" t="s">
        <v>833</v>
      </c>
      <c r="AF37" s="88" t="n">
        <f aca="false">6550.58/2/1.2</f>
        <v>2729.41</v>
      </c>
      <c r="AG37" s="89" t="n">
        <f aca="false">AF37*D37</f>
        <v>13647.05</v>
      </c>
      <c r="AH37" s="95" t="s">
        <v>834</v>
      </c>
      <c r="AI37" s="88" t="n">
        <f aca="false">8795/2/1.2</f>
        <v>3664.58</v>
      </c>
      <c r="AJ37" s="89" t="n">
        <f aca="false">AI37*D37</f>
        <v>18322.9</v>
      </c>
      <c r="AK37" s="91" t="n">
        <f aca="false">AVERAGE(AC37,AF37,AI37)</f>
        <v>3101.6</v>
      </c>
      <c r="AL37" s="91" t="n">
        <f aca="false">((E37-AK37)/AK37)*100</f>
        <v>-42.44</v>
      </c>
      <c r="AM37" s="92" t="n">
        <f aca="false">AK37/1.2</f>
        <v>2584.67</v>
      </c>
      <c r="AN37" s="92" t="n">
        <f aca="false">AK37*1.2</f>
        <v>3721.92</v>
      </c>
      <c r="AO37" s="86" t="n">
        <f aca="false">AND((AC37)&gt;=MIN(AM37),(AC37)&lt;=MAX(AN37))</f>
        <v>1</v>
      </c>
      <c r="AP37" s="86" t="n">
        <f aca="false">AND((AF37)&gt;=MIN(AM37),(AF37)&lt;=MAX(AN37))</f>
        <v>1</v>
      </c>
      <c r="AQ37" s="86" t="n">
        <f aca="false">AND((AI37)&gt;=MIN(AM37),(AI37)&lt;=MAX(AN37))</f>
        <v>1</v>
      </c>
    </row>
    <row r="38" s="38" customFormat="true" ht="32.25" hidden="false" customHeight="true" outlineLevel="0" collapsed="false">
      <c r="A38" s="28" t="n">
        <v>28</v>
      </c>
      <c r="B38" s="57" t="s">
        <v>245</v>
      </c>
      <c r="C38" s="125" t="s">
        <v>143</v>
      </c>
      <c r="D38" s="125" t="n">
        <v>10</v>
      </c>
      <c r="E38" s="126" t="n">
        <f aca="false">O38</f>
        <v>753.89</v>
      </c>
      <c r="F38" s="142" t="s">
        <v>246</v>
      </c>
      <c r="G38" s="34" t="n">
        <f aca="false">925/1.2</f>
        <v>770.83</v>
      </c>
      <c r="H38" s="34" t="n">
        <f aca="false">D38*G38</f>
        <v>7708.3</v>
      </c>
      <c r="I38" s="42" t="s">
        <v>247</v>
      </c>
      <c r="J38" s="34" t="n">
        <f aca="false">880/1.2</f>
        <v>733.33</v>
      </c>
      <c r="K38" s="34" t="n">
        <f aca="false">D38*J38</f>
        <v>7333.3</v>
      </c>
      <c r="L38" s="42" t="s">
        <v>248</v>
      </c>
      <c r="M38" s="34" t="n">
        <f aca="false">909/1.2</f>
        <v>757.5</v>
      </c>
      <c r="N38" s="34" t="n">
        <f aca="false">D38*M38</f>
        <v>7575</v>
      </c>
      <c r="O38" s="127" t="n">
        <f aca="false">AVERAGE(G38,J38,M38)</f>
        <v>753.89</v>
      </c>
      <c r="P38" s="36" t="n">
        <f aca="false">E38*100/O38-100</f>
        <v>0</v>
      </c>
      <c r="Q38" s="127" t="n">
        <f aca="false">D38*E38</f>
        <v>7538.9</v>
      </c>
      <c r="R38" s="37"/>
      <c r="T38" s="39" t="n">
        <f aca="false">ROUND(G38*100/O38-100,0)</f>
        <v>2</v>
      </c>
      <c r="U38" s="39" t="n">
        <f aca="false">ROUND(J38*100/O38-100,0)</f>
        <v>-3</v>
      </c>
      <c r="V38" s="39" t="n">
        <f aca="false">ROUND(M38*100/O38-100,0)</f>
        <v>0</v>
      </c>
      <c r="W38" s="85" t="n">
        <f aca="false">O38/1.2</f>
        <v>628.24</v>
      </c>
      <c r="X38" s="85" t="n">
        <f aca="false">O38*1.2</f>
        <v>904.67</v>
      </c>
      <c r="Y38" s="86" t="n">
        <f aca="false">AND((G38)&gt;=MIN(W38),(G38)&lt;=MAX(X38))</f>
        <v>1</v>
      </c>
      <c r="Z38" s="86" t="n">
        <f aca="false">AND((J38)&gt;=MIN(W38),(J38)&lt;=MAX(X38))</f>
        <v>1</v>
      </c>
      <c r="AA38" s="86" t="n">
        <f aca="false">AND((M38)&gt;=MIN(W38),(M38)&lt;=MAX(X38))</f>
        <v>1</v>
      </c>
      <c r="AB38" s="95" t="s">
        <v>835</v>
      </c>
      <c r="AC38" s="88" t="n">
        <f aca="false">1130/1.2</f>
        <v>941.67</v>
      </c>
      <c r="AD38" s="88" t="n">
        <f aca="false">AC38*D38</f>
        <v>9416.7</v>
      </c>
      <c r="AE38" s="95" t="s">
        <v>836</v>
      </c>
      <c r="AF38" s="88" t="n">
        <f aca="false">925/1.2</f>
        <v>770.83</v>
      </c>
      <c r="AG38" s="89" t="n">
        <f aca="false">AF38*D38</f>
        <v>7708.3</v>
      </c>
      <c r="AH38" s="95" t="s">
        <v>837</v>
      </c>
      <c r="AI38" s="88" t="n">
        <f aca="false">896/1.2</f>
        <v>746.67</v>
      </c>
      <c r="AJ38" s="89" t="n">
        <f aca="false">AI38*D38</f>
        <v>7466.7</v>
      </c>
      <c r="AK38" s="91" t="n">
        <f aca="false">AVERAGE(AC38,AF38,AI38)</f>
        <v>819.72</v>
      </c>
      <c r="AL38" s="91" t="n">
        <f aca="false">((E38-AK38)/AK38)*100</f>
        <v>-8.03</v>
      </c>
      <c r="AM38" s="92" t="n">
        <f aca="false">AK38/1.2</f>
        <v>683.1</v>
      </c>
      <c r="AN38" s="92" t="n">
        <f aca="false">AK38*1.2</f>
        <v>983.66</v>
      </c>
      <c r="AO38" s="86" t="n">
        <f aca="false">AND((AC38)&gt;=MIN(AM38),(AC38)&lt;=MAX(AN38))</f>
        <v>1</v>
      </c>
      <c r="AP38" s="86" t="n">
        <f aca="false">AND((AF38)&gt;=MIN(AM38),(AF38)&lt;=MAX(AN38))</f>
        <v>1</v>
      </c>
      <c r="AQ38" s="86" t="n">
        <f aca="false">AND((AI38)&gt;=MIN(AM38),(AI38)&lt;=MAX(AN38))</f>
        <v>1</v>
      </c>
    </row>
    <row r="39" s="38" customFormat="true" ht="36.75" hidden="false" customHeight="true" outlineLevel="0" collapsed="false">
      <c r="A39" s="28" t="n">
        <v>29</v>
      </c>
      <c r="B39" s="57" t="s">
        <v>249</v>
      </c>
      <c r="C39" s="125" t="s">
        <v>143</v>
      </c>
      <c r="D39" s="125" t="n">
        <v>5</v>
      </c>
      <c r="E39" s="126" t="n">
        <f aca="false">O39</f>
        <v>1187.78</v>
      </c>
      <c r="F39" s="142" t="s">
        <v>250</v>
      </c>
      <c r="G39" s="34" t="n">
        <f aca="false">1586/1.2</f>
        <v>1321.67</v>
      </c>
      <c r="H39" s="34" t="n">
        <f aca="false">D39*G39</f>
        <v>6608.35</v>
      </c>
      <c r="I39" s="42" t="s">
        <v>251</v>
      </c>
      <c r="J39" s="34" t="n">
        <f aca="false">1453/1.2</f>
        <v>1210.83</v>
      </c>
      <c r="K39" s="34" t="n">
        <f aca="false">D39*J39</f>
        <v>6054.15</v>
      </c>
      <c r="L39" s="42" t="s">
        <v>252</v>
      </c>
      <c r="M39" s="34" t="n">
        <f aca="false">1237/1.2</f>
        <v>1030.83</v>
      </c>
      <c r="N39" s="34" t="n">
        <f aca="false">D39*M39</f>
        <v>5154.15</v>
      </c>
      <c r="O39" s="127" t="n">
        <f aca="false">AVERAGE(G39,J39,M39)</f>
        <v>1187.78</v>
      </c>
      <c r="P39" s="36" t="n">
        <f aca="false">E39*100/O39-100</f>
        <v>0</v>
      </c>
      <c r="Q39" s="127" t="n">
        <f aca="false">D39*E39</f>
        <v>5938.9</v>
      </c>
      <c r="R39" s="37"/>
      <c r="T39" s="39" t="n">
        <f aca="false">ROUND(G39*100/O39-100,0)</f>
        <v>11</v>
      </c>
      <c r="U39" s="39" t="n">
        <f aca="false">ROUND(J39*100/O39-100,0)</f>
        <v>2</v>
      </c>
      <c r="V39" s="39" t="n">
        <f aca="false">ROUND(M39*100/O39-100,0)</f>
        <v>-13</v>
      </c>
      <c r="W39" s="85" t="n">
        <f aca="false">O39/1.2</f>
        <v>989.82</v>
      </c>
      <c r="X39" s="85" t="n">
        <f aca="false">O39*1.2</f>
        <v>1425.34</v>
      </c>
      <c r="Y39" s="86" t="n">
        <f aca="false">AND((G39)&gt;=MIN(W39),(G39)&lt;=MAX(X39))</f>
        <v>1</v>
      </c>
      <c r="Z39" s="86" t="n">
        <f aca="false">AND((J39)&gt;=MIN(W39),(J39)&lt;=MAX(X39))</f>
        <v>1</v>
      </c>
      <c r="AA39" s="86" t="n">
        <f aca="false">AND((M39)&gt;=MIN(W39),(M39)&lt;=MAX(X39))</f>
        <v>1</v>
      </c>
      <c r="AB39" s="95" t="s">
        <v>838</v>
      </c>
      <c r="AC39" s="88" t="n">
        <f aca="false">1586/1.2</f>
        <v>1321.67</v>
      </c>
      <c r="AD39" s="88" t="n">
        <f aca="false">AC39*D39</f>
        <v>6608.35</v>
      </c>
      <c r="AE39" s="95" t="s">
        <v>839</v>
      </c>
      <c r="AF39" s="88" t="n">
        <f aca="false">1784.8/1.2</f>
        <v>1487.33</v>
      </c>
      <c r="AG39" s="89" t="n">
        <f aca="false">AF39*D39</f>
        <v>7436.65</v>
      </c>
      <c r="AH39" s="95" t="s">
        <v>840</v>
      </c>
      <c r="AI39" s="88" t="n">
        <f aca="false">1586.45/1.2</f>
        <v>1322.04</v>
      </c>
      <c r="AJ39" s="89" t="n">
        <f aca="false">AI39*D39</f>
        <v>6610.2</v>
      </c>
      <c r="AK39" s="91" t="n">
        <f aca="false">AVERAGE(AC39,AF39,AI39)</f>
        <v>1377.01</v>
      </c>
      <c r="AL39" s="91" t="n">
        <f aca="false">((E39-AK39)/AK39)*100</f>
        <v>-13.74</v>
      </c>
      <c r="AM39" s="92" t="n">
        <f aca="false">AK39/1.2</f>
        <v>1147.51</v>
      </c>
      <c r="AN39" s="92" t="n">
        <f aca="false">AK39*1.2</f>
        <v>1652.41</v>
      </c>
      <c r="AO39" s="86" t="n">
        <f aca="false">AND((AC39)&gt;=MIN(AM39),(AC39)&lt;=MAX(AN39))</f>
        <v>1</v>
      </c>
      <c r="AP39" s="86" t="n">
        <f aca="false">AND((AF39)&gt;=MIN(AM39),(AF39)&lt;=MAX(AN39))</f>
        <v>1</v>
      </c>
      <c r="AQ39" s="86" t="n">
        <f aca="false">AND((AI39)&gt;=MIN(AM39),(AI39)&lt;=MAX(AN39))</f>
        <v>1</v>
      </c>
    </row>
    <row r="40" s="38" customFormat="true" ht="36.75" hidden="false" customHeight="true" outlineLevel="0" collapsed="false">
      <c r="A40" s="28" t="n">
        <v>30</v>
      </c>
      <c r="B40" s="57" t="s">
        <v>253</v>
      </c>
      <c r="C40" s="125" t="s">
        <v>143</v>
      </c>
      <c r="D40" s="125" t="n">
        <v>20</v>
      </c>
      <c r="E40" s="126" t="n">
        <f aca="false">AK40</f>
        <v>439.17</v>
      </c>
      <c r="F40" s="106" t="s">
        <v>254</v>
      </c>
      <c r="G40" s="34" t="n">
        <f aca="false">1047/2/1.2</f>
        <v>436.25</v>
      </c>
      <c r="H40" s="34" t="n">
        <f aca="false">D40*G40</f>
        <v>8725</v>
      </c>
      <c r="I40" s="106" t="s">
        <v>255</v>
      </c>
      <c r="J40" s="34" t="n">
        <f aca="false">558/1.2</f>
        <v>465</v>
      </c>
      <c r="K40" s="34" t="n">
        <f aca="false">D40*J40</f>
        <v>9300</v>
      </c>
      <c r="L40" s="106" t="s">
        <v>256</v>
      </c>
      <c r="M40" s="34" t="n">
        <f aca="false">502/1.2</f>
        <v>418.33</v>
      </c>
      <c r="N40" s="34" t="n">
        <f aca="false">D40*M40</f>
        <v>8366.6</v>
      </c>
      <c r="O40" s="127" t="n">
        <f aca="false">AVERAGE(G40,J40,M40)</f>
        <v>439.86</v>
      </c>
      <c r="P40" s="36" t="n">
        <f aca="false">E40*100/O40-100</f>
        <v>-0.156868094393658</v>
      </c>
      <c r="Q40" s="127" t="n">
        <f aca="false">D40*E40</f>
        <v>8783.4</v>
      </c>
      <c r="R40" s="37"/>
      <c r="T40" s="39" t="n">
        <f aca="false">ROUND(G40*100/O40-100,0)</f>
        <v>-1</v>
      </c>
      <c r="U40" s="39" t="n">
        <f aca="false">ROUND(J40*100/O40-100,0)</f>
        <v>6</v>
      </c>
      <c r="V40" s="39" t="n">
        <f aca="false">ROUND(M40*100/O40-100,0)</f>
        <v>-5</v>
      </c>
      <c r="W40" s="85" t="n">
        <f aca="false">O40/1.2</f>
        <v>366.55</v>
      </c>
      <c r="X40" s="85" t="n">
        <f aca="false">O40*1.2</f>
        <v>527.83</v>
      </c>
      <c r="Y40" s="86" t="n">
        <f aca="false">AND((G40)&gt;=MIN(W40),(G40)&lt;=MAX(X40))</f>
        <v>1</v>
      </c>
      <c r="Z40" s="86" t="n">
        <f aca="false">AND((J40)&gt;=MIN(W40),(J40)&lt;=MAX(X40))</f>
        <v>1</v>
      </c>
      <c r="AA40" s="86" t="n">
        <f aca="false">AND((M40)&gt;=MIN(W40),(M40)&lt;=MAX(X40))</f>
        <v>1</v>
      </c>
      <c r="AB40" s="95" t="s">
        <v>841</v>
      </c>
      <c r="AC40" s="88" t="n">
        <f aca="false">530/1.2</f>
        <v>441.67</v>
      </c>
      <c r="AD40" s="88" t="n">
        <f aca="false">AC40*D40</f>
        <v>8833.4</v>
      </c>
      <c r="AE40" s="95" t="s">
        <v>841</v>
      </c>
      <c r="AF40" s="88" t="n">
        <f aca="false">541/1.2</f>
        <v>450.83</v>
      </c>
      <c r="AG40" s="89" t="n">
        <f aca="false">AF40*D40</f>
        <v>9016.6</v>
      </c>
      <c r="AH40" s="95" t="s">
        <v>842</v>
      </c>
      <c r="AI40" s="88" t="n">
        <f aca="false">510/1.2</f>
        <v>425</v>
      </c>
      <c r="AJ40" s="89" t="n">
        <f aca="false">AI40*D40</f>
        <v>8500</v>
      </c>
      <c r="AK40" s="91" t="n">
        <f aca="false">AVERAGE(AC40,AF40,AI40)</f>
        <v>439.17</v>
      </c>
      <c r="AL40" s="91" t="n">
        <f aca="false">((E40-AK40)/AK40)*100</f>
        <v>0</v>
      </c>
      <c r="AM40" s="92" t="n">
        <f aca="false">AK40/1.2</f>
        <v>365.98</v>
      </c>
      <c r="AN40" s="92" t="n">
        <f aca="false">AK40*1.2</f>
        <v>527</v>
      </c>
      <c r="AO40" s="86" t="n">
        <f aca="false">AND((AC40)&gt;=MIN(AM40),(AC40)&lt;=MAX(AN40))</f>
        <v>1</v>
      </c>
      <c r="AP40" s="86" t="n">
        <f aca="false">AND((AF40)&gt;=MIN(AM40),(AF40)&lt;=MAX(AN40))</f>
        <v>1</v>
      </c>
      <c r="AQ40" s="86" t="n">
        <f aca="false">AND((AI40)&gt;=MIN(AM40),(AI40)&lt;=MAX(AN40))</f>
        <v>1</v>
      </c>
    </row>
    <row r="41" s="38" customFormat="true" ht="37.5" hidden="false" customHeight="true" outlineLevel="0" collapsed="false">
      <c r="A41" s="28" t="n">
        <v>31</v>
      </c>
      <c r="B41" s="57" t="s">
        <v>994</v>
      </c>
      <c r="C41" s="125" t="s">
        <v>143</v>
      </c>
      <c r="D41" s="125" t="n">
        <v>30</v>
      </c>
      <c r="E41" s="126" t="n">
        <f aca="false">O41</f>
        <v>134.31</v>
      </c>
      <c r="F41" s="146" t="s">
        <v>995</v>
      </c>
      <c r="G41" s="34" t="n">
        <f aca="false">168.5/1.2</f>
        <v>140.42</v>
      </c>
      <c r="H41" s="47" t="n">
        <f aca="false">D41*G41</f>
        <v>4212.6</v>
      </c>
      <c r="I41" s="95" t="s">
        <v>996</v>
      </c>
      <c r="J41" s="34" t="n">
        <f aca="false">146/1.2</f>
        <v>121.67</v>
      </c>
      <c r="K41" s="47" t="n">
        <f aca="false">D41*J41</f>
        <v>3650.1</v>
      </c>
      <c r="L41" s="146" t="s">
        <v>997</v>
      </c>
      <c r="M41" s="34" t="n">
        <f aca="false">169/1.2</f>
        <v>140.83</v>
      </c>
      <c r="N41" s="47" t="n">
        <f aca="false">D41*M41</f>
        <v>4224.9</v>
      </c>
      <c r="O41" s="127" t="n">
        <f aca="false">AVERAGE(G41,J41,M41)</f>
        <v>134.31</v>
      </c>
      <c r="P41" s="36" t="n">
        <f aca="false">E41*100/O41-100</f>
        <v>0</v>
      </c>
      <c r="Q41" s="127" t="n">
        <f aca="false">D41*E41</f>
        <v>4029.3</v>
      </c>
      <c r="R41" s="37" t="s">
        <v>261</v>
      </c>
      <c r="T41" s="39" t="n">
        <f aca="false">ROUND(G41*100/O41-100,0)</f>
        <v>5</v>
      </c>
      <c r="U41" s="39" t="n">
        <f aca="false">ROUND(J41*100/O41-100,0)</f>
        <v>-9</v>
      </c>
      <c r="V41" s="39" t="n">
        <f aca="false">ROUND(M41*100/O41-100,0)</f>
        <v>5</v>
      </c>
      <c r="W41" s="85" t="n">
        <f aca="false">O41/1.2</f>
        <v>111.93</v>
      </c>
      <c r="X41" s="85" t="n">
        <f aca="false">O41*1.2</f>
        <v>161.17</v>
      </c>
      <c r="Y41" s="86" t="n">
        <f aca="false">AND((G41)&gt;=MIN(W41),(G41)&lt;=MAX(X41))</f>
        <v>1</v>
      </c>
      <c r="Z41" s="86" t="n">
        <f aca="false">AND((J41)&gt;=MIN(W41),(J41)&lt;=MAX(X41))</f>
        <v>1</v>
      </c>
      <c r="AA41" s="140" t="n">
        <f aca="false">AND((M41)&gt;=MIN(W41),(M41)&lt;=MAX(X41))</f>
        <v>1</v>
      </c>
      <c r="AB41" s="95" t="s">
        <v>998</v>
      </c>
      <c r="AC41" s="88" t="n">
        <f aca="false">173/1.2</f>
        <v>144.17</v>
      </c>
      <c r="AD41" s="88" t="n">
        <f aca="false">AC41*D41</f>
        <v>4325.1</v>
      </c>
      <c r="AE41" s="95" t="s">
        <v>999</v>
      </c>
      <c r="AF41" s="88" t="n">
        <f aca="false">166/1.2</f>
        <v>138.33</v>
      </c>
      <c r="AG41" s="89" t="n">
        <f aca="false">AF41*D41</f>
        <v>4149.9</v>
      </c>
      <c r="AH41" s="95" t="s">
        <v>996</v>
      </c>
      <c r="AI41" s="88" t="n">
        <f aca="false">146/1.2</f>
        <v>121.67</v>
      </c>
      <c r="AJ41" s="89" t="n">
        <f aca="false">AI41*D41</f>
        <v>3650.1</v>
      </c>
      <c r="AK41" s="91" t="n">
        <f aca="false">AVERAGE(AC41,AF41,AI41)</f>
        <v>134.72</v>
      </c>
      <c r="AL41" s="91" t="n">
        <f aca="false">((E41-AK41)/AK41)*100</f>
        <v>-0.3</v>
      </c>
      <c r="AM41" s="92" t="n">
        <f aca="false">AK41/1.2</f>
        <v>112.27</v>
      </c>
      <c r="AN41" s="92" t="n">
        <f aca="false">AK41*1.2</f>
        <v>161.66</v>
      </c>
      <c r="AO41" s="86" t="n">
        <f aca="false">AND((AC41)&gt;=MIN(AM41),(AC41)&lt;=MAX(AN41))</f>
        <v>1</v>
      </c>
      <c r="AP41" s="86" t="n">
        <f aca="false">AND((AF41)&gt;=MIN(AM41),(AF41)&lt;=MAX(AN41))</f>
        <v>1</v>
      </c>
      <c r="AQ41" s="86" t="n">
        <f aca="false">AND((AI41)&gt;=MIN(AM41),(AI41)&lt;=MAX(AN41))</f>
        <v>1</v>
      </c>
    </row>
    <row r="42" s="38" customFormat="true" ht="39" hidden="false" customHeight="true" outlineLevel="0" collapsed="false">
      <c r="A42" s="28" t="n">
        <v>32</v>
      </c>
      <c r="B42" s="57" t="s">
        <v>266</v>
      </c>
      <c r="C42" s="125" t="s">
        <v>143</v>
      </c>
      <c r="D42" s="125" t="n">
        <v>20</v>
      </c>
      <c r="E42" s="126" t="n">
        <f aca="false">O42</f>
        <v>3741.24</v>
      </c>
      <c r="F42" s="142" t="s">
        <v>267</v>
      </c>
      <c r="G42" s="34" t="n">
        <f aca="false">3789/1.2</f>
        <v>3157.5</v>
      </c>
      <c r="H42" s="47" t="n">
        <f aca="false">D42*G42</f>
        <v>63150</v>
      </c>
      <c r="I42" s="139" t="s">
        <v>284</v>
      </c>
      <c r="J42" s="34" t="n">
        <f aca="false">4930.46/1.2</f>
        <v>4108.72</v>
      </c>
      <c r="K42" s="47" t="n">
        <f aca="false">D42*J42</f>
        <v>82174.4</v>
      </c>
      <c r="L42" s="42" t="s">
        <v>1000</v>
      </c>
      <c r="M42" s="34" t="n">
        <f aca="false">4749/1.2</f>
        <v>3957.5</v>
      </c>
      <c r="N42" s="47" t="n">
        <f aca="false">D42*M42</f>
        <v>79150</v>
      </c>
      <c r="O42" s="127" t="n">
        <f aca="false">AVERAGE(G42,J42,M42)</f>
        <v>3741.24</v>
      </c>
      <c r="P42" s="36" t="n">
        <f aca="false">E42*100/O42-100</f>
        <v>0</v>
      </c>
      <c r="Q42" s="127" t="n">
        <f aca="false">D42*E42</f>
        <v>74824.8</v>
      </c>
      <c r="R42" s="37"/>
      <c r="T42" s="39" t="n">
        <f aca="false">ROUND(G42*100/O42-100,0)</f>
        <v>-16</v>
      </c>
      <c r="U42" s="39" t="n">
        <f aca="false">ROUND(J42*100/O42-100,0)</f>
        <v>10</v>
      </c>
      <c r="V42" s="39" t="n">
        <f aca="false">ROUND(M42*100/O42-100,0)</f>
        <v>6</v>
      </c>
      <c r="W42" s="85" t="n">
        <f aca="false">O42/1.2</f>
        <v>3117.7</v>
      </c>
      <c r="X42" s="85" t="n">
        <f aca="false">O42*1.2</f>
        <v>4489.49</v>
      </c>
      <c r="Y42" s="86" t="n">
        <f aca="false">AND((G42)&gt;=MIN(W42),(G42)&lt;=MAX(X42))</f>
        <v>1</v>
      </c>
      <c r="Z42" s="86" t="n">
        <f aca="false">AND((J42)&gt;=MIN(W42),(J42)&lt;=MAX(X42))</f>
        <v>1</v>
      </c>
      <c r="AA42" s="86" t="n">
        <f aca="false">AND((M42)&gt;=MIN(W42),(M42)&lt;=MAX(X42))</f>
        <v>1</v>
      </c>
      <c r="AB42" s="95" t="s">
        <v>847</v>
      </c>
      <c r="AC42" s="88" t="n">
        <f aca="false">5037/1.2</f>
        <v>4197.5</v>
      </c>
      <c r="AD42" s="88" t="n">
        <f aca="false">AC42*D42</f>
        <v>83950</v>
      </c>
      <c r="AE42" s="95" t="s">
        <v>848</v>
      </c>
      <c r="AF42" s="88" t="n">
        <f aca="false">5037/1.2</f>
        <v>4197.5</v>
      </c>
      <c r="AG42" s="89" t="n">
        <f aca="false">AF42*D42</f>
        <v>83950</v>
      </c>
      <c r="AH42" s="95" t="s">
        <v>849</v>
      </c>
      <c r="AI42" s="88" t="n">
        <f aca="false">4606.53/1.2</f>
        <v>3838.78</v>
      </c>
      <c r="AJ42" s="89" t="n">
        <f aca="false">AI42*D42</f>
        <v>76775.6</v>
      </c>
      <c r="AK42" s="91" t="n">
        <f aca="false">AVERAGE(AC42,AF42,AI42)</f>
        <v>4077.93</v>
      </c>
      <c r="AL42" s="91" t="n">
        <f aca="false">((E42-AK42)/AK42)*100</f>
        <v>-8.26</v>
      </c>
      <c r="AM42" s="92" t="n">
        <f aca="false">AK42/1.2</f>
        <v>3398.28</v>
      </c>
      <c r="AN42" s="92" t="n">
        <f aca="false">AK42*1.2</f>
        <v>4893.52</v>
      </c>
      <c r="AO42" s="86" t="n">
        <f aca="false">AND((AC42)&gt;=MIN(AM42),(AC42)&lt;=MAX(AN42))</f>
        <v>1</v>
      </c>
      <c r="AP42" s="86" t="n">
        <f aca="false">AND((AF42)&gt;=MIN(AM42),(AF42)&lt;=MAX(AN42))</f>
        <v>1</v>
      </c>
      <c r="AQ42" s="86" t="n">
        <f aca="false">AND((AI42)&gt;=MIN(AM42),(AI42)&lt;=MAX(AN42))</f>
        <v>1</v>
      </c>
    </row>
    <row r="43" s="38" customFormat="true" ht="46.5" hidden="false" customHeight="true" outlineLevel="0" collapsed="false">
      <c r="A43" s="28" t="n">
        <v>33</v>
      </c>
      <c r="B43" s="57" t="s">
        <v>270</v>
      </c>
      <c r="C43" s="125" t="s">
        <v>143</v>
      </c>
      <c r="D43" s="125" t="n">
        <v>10</v>
      </c>
      <c r="E43" s="126" t="n">
        <v>2771.59</v>
      </c>
      <c r="F43" s="142" t="s">
        <v>271</v>
      </c>
      <c r="G43" s="34" t="n">
        <f aca="false">3761/1.2</f>
        <v>3134.17</v>
      </c>
      <c r="H43" s="34" t="n">
        <f aca="false">D43*G43</f>
        <v>31341.7</v>
      </c>
      <c r="I43" s="42" t="s">
        <v>272</v>
      </c>
      <c r="J43" s="34" t="n">
        <f aca="false">4030/1.2</f>
        <v>3358.33</v>
      </c>
      <c r="K43" s="34" t="n">
        <f aca="false">D43*J43</f>
        <v>33583.3</v>
      </c>
      <c r="L43" s="42" t="s">
        <v>273</v>
      </c>
      <c r="M43" s="34" t="n">
        <f aca="false">3786/1.2</f>
        <v>3155</v>
      </c>
      <c r="N43" s="34" t="n">
        <f aca="false">D43*M43</f>
        <v>31550</v>
      </c>
      <c r="O43" s="127" t="n">
        <f aca="false">AVERAGE(G43,J43,M43)</f>
        <v>3215.83</v>
      </c>
      <c r="P43" s="36" t="n">
        <f aca="false">E43*100/O43-100</f>
        <v>-13.8141630621022</v>
      </c>
      <c r="Q43" s="127" t="n">
        <f aca="false">D43*E43</f>
        <v>27715.9</v>
      </c>
      <c r="R43" s="37"/>
      <c r="T43" s="39" t="n">
        <f aca="false">ROUND(G43*100/O43-100,0)</f>
        <v>-3</v>
      </c>
      <c r="U43" s="39" t="n">
        <f aca="false">ROUND(J43*100/O43-100,0)</f>
        <v>4</v>
      </c>
      <c r="V43" s="39" t="n">
        <f aca="false">ROUND(M43*100/O43-100,0)</f>
        <v>-2</v>
      </c>
      <c r="W43" s="85" t="n">
        <f aca="false">O43/1.2</f>
        <v>2679.86</v>
      </c>
      <c r="X43" s="85" t="n">
        <f aca="false">O43*1.2</f>
        <v>3859</v>
      </c>
      <c r="Y43" s="86" t="n">
        <f aca="false">AND((G43)&gt;=MIN(W43),(G43)&lt;=MAX(X43))</f>
        <v>1</v>
      </c>
      <c r="Z43" s="86" t="n">
        <f aca="false">AND((J43)&gt;=MIN(W43),(J43)&lt;=MAX(X43))</f>
        <v>1</v>
      </c>
      <c r="AA43" s="86" t="n">
        <f aca="false">AND((M43)&gt;=MIN(W43),(M43)&lt;=MAX(X43))</f>
        <v>1</v>
      </c>
      <c r="AB43" s="95" t="s">
        <v>850</v>
      </c>
      <c r="AC43" s="88" t="n">
        <f aca="false">3258/1.2</f>
        <v>2715</v>
      </c>
      <c r="AD43" s="88" t="n">
        <f aca="false">AC43*D43</f>
        <v>27150</v>
      </c>
      <c r="AE43" s="95" t="s">
        <v>851</v>
      </c>
      <c r="AF43" s="88" t="n">
        <f aca="false">3209.73/1.2</f>
        <v>2674.78</v>
      </c>
      <c r="AG43" s="89" t="n">
        <f aca="false">AF43*D43</f>
        <v>26747.8</v>
      </c>
      <c r="AH43" s="95" t="s">
        <v>852</v>
      </c>
      <c r="AI43" s="88" t="n">
        <f aca="false">3510/1.2</f>
        <v>2925</v>
      </c>
      <c r="AJ43" s="89" t="n">
        <f aca="false">AI43*D43</f>
        <v>29250</v>
      </c>
      <c r="AK43" s="91" t="n">
        <f aca="false">AVERAGE(AC43,AF43,AI43)</f>
        <v>2771.59</v>
      </c>
      <c r="AL43" s="91" t="n">
        <f aca="false">((E43-AK43)/AK43)*100</f>
        <v>0</v>
      </c>
      <c r="AM43" s="92" t="n">
        <f aca="false">AK43/1.2</f>
        <v>2309.66</v>
      </c>
      <c r="AN43" s="92" t="n">
        <f aca="false">AK43*1.2</f>
        <v>3325.91</v>
      </c>
      <c r="AO43" s="86" t="n">
        <f aca="false">AND((AC43)&gt;=MIN(AM43),(AC43)&lt;=MAX(AN43))</f>
        <v>1</v>
      </c>
      <c r="AP43" s="86" t="n">
        <f aca="false">AND((AF43)&gt;=MIN(AM43),(AF43)&lt;=MAX(AN43))</f>
        <v>1</v>
      </c>
      <c r="AQ43" s="86" t="n">
        <f aca="false">AND((AI43)&gt;=MIN(AM43),(AI43)&lt;=MAX(AN43))</f>
        <v>1</v>
      </c>
    </row>
    <row r="44" s="38" customFormat="true" ht="30.75" hidden="false" customHeight="true" outlineLevel="0" collapsed="false">
      <c r="A44" s="28" t="n">
        <v>34</v>
      </c>
      <c r="B44" s="57" t="s">
        <v>274</v>
      </c>
      <c r="C44" s="125" t="s">
        <v>143</v>
      </c>
      <c r="D44" s="125" t="n">
        <v>5</v>
      </c>
      <c r="E44" s="126" t="n">
        <v>4093.89</v>
      </c>
      <c r="F44" s="142" t="s">
        <v>275</v>
      </c>
      <c r="G44" s="34" t="n">
        <f aca="false">5641/1.2</f>
        <v>4700.83</v>
      </c>
      <c r="H44" s="34" t="n">
        <f aca="false">D44*G44</f>
        <v>23504.15</v>
      </c>
      <c r="I44" s="42" t="s">
        <v>276</v>
      </c>
      <c r="J44" s="34" t="n">
        <f aca="false">5667/1.2</f>
        <v>4722.5</v>
      </c>
      <c r="K44" s="34" t="n">
        <f aca="false">D44*J44</f>
        <v>23612.5</v>
      </c>
      <c r="L44" s="42" t="s">
        <v>277</v>
      </c>
      <c r="M44" s="34" t="n">
        <f aca="false">5620/1.2</f>
        <v>4683.33</v>
      </c>
      <c r="N44" s="34" t="n">
        <f aca="false">D44*M44</f>
        <v>23416.65</v>
      </c>
      <c r="O44" s="127" t="n">
        <f aca="false">AVERAGE(G44,J44,M44)</f>
        <v>4702.22</v>
      </c>
      <c r="P44" s="36" t="n">
        <f aca="false">E44*100/O44-100</f>
        <v>-12.9370807831195</v>
      </c>
      <c r="Q44" s="127" t="n">
        <f aca="false">D44*E44</f>
        <v>20469.45</v>
      </c>
      <c r="R44" s="37"/>
      <c r="T44" s="39" t="n">
        <f aca="false">ROUND(G44*100/O44-100,0)</f>
        <v>-0</v>
      </c>
      <c r="U44" s="39" t="n">
        <f aca="false">ROUND(J44*100/O44-100,0)</f>
        <v>0</v>
      </c>
      <c r="V44" s="39" t="n">
        <f aca="false">ROUND(M44*100/O44-100,0)</f>
        <v>-0</v>
      </c>
      <c r="W44" s="85" t="n">
        <f aca="false">O44/1.2</f>
        <v>3918.52</v>
      </c>
      <c r="X44" s="85" t="n">
        <f aca="false">O44*1.2</f>
        <v>5642.66</v>
      </c>
      <c r="Y44" s="86" t="n">
        <f aca="false">AND((G44)&gt;=MIN(W44),(G44)&lt;=MAX(X44))</f>
        <v>1</v>
      </c>
      <c r="Z44" s="86" t="n">
        <f aca="false">AND((J44)&gt;=MIN(W44),(J44)&lt;=MAX(X44))</f>
        <v>1</v>
      </c>
      <c r="AA44" s="86" t="n">
        <f aca="false">AND((M44)&gt;=MIN(W44),(M44)&lt;=MAX(X44))</f>
        <v>1</v>
      </c>
      <c r="AB44" s="95" t="s">
        <v>853</v>
      </c>
      <c r="AC44" s="88" t="n">
        <f aca="false">5800/1.2</f>
        <v>4833.33</v>
      </c>
      <c r="AD44" s="88" t="n">
        <f aca="false">AC44*D44</f>
        <v>24166.65</v>
      </c>
      <c r="AE44" s="95" t="s">
        <v>854</v>
      </c>
      <c r="AF44" s="88" t="n">
        <f aca="false">4469/1.2</f>
        <v>3724.17</v>
      </c>
      <c r="AG44" s="89" t="n">
        <f aca="false">AF44*D44</f>
        <v>18620.85</v>
      </c>
      <c r="AH44" s="95" t="s">
        <v>855</v>
      </c>
      <c r="AI44" s="88" t="n">
        <f aca="false">4469/1.2</f>
        <v>3724.17</v>
      </c>
      <c r="AJ44" s="89" t="n">
        <f aca="false">AI44*D44</f>
        <v>18620.85</v>
      </c>
      <c r="AK44" s="91" t="n">
        <f aca="false">AVERAGE(AC44,AF44,AI44)</f>
        <v>4093.89</v>
      </c>
      <c r="AL44" s="91" t="n">
        <f aca="false">((E44-AK44)/AK44)*100</f>
        <v>0</v>
      </c>
      <c r="AM44" s="92" t="n">
        <f aca="false">AK44/1.2</f>
        <v>3411.58</v>
      </c>
      <c r="AN44" s="92" t="n">
        <f aca="false">AK44*1.2</f>
        <v>4912.67</v>
      </c>
      <c r="AO44" s="86" t="n">
        <f aca="false">AND((AC44)&gt;=MIN(AM44),(AC44)&lt;=MAX(AN44))</f>
        <v>1</v>
      </c>
      <c r="AP44" s="86" t="n">
        <f aca="false">AND((AF44)&gt;=MIN(AM44),(AF44)&lt;=MAX(AN44))</f>
        <v>1</v>
      </c>
      <c r="AQ44" s="86" t="n">
        <f aca="false">AND((AI44)&gt;=MIN(AM44),(AI44)&lt;=MAX(AN44))</f>
        <v>1</v>
      </c>
    </row>
    <row r="45" s="38" customFormat="true" ht="34.5" hidden="false" customHeight="true" outlineLevel="0" collapsed="false">
      <c r="A45" s="28" t="n">
        <v>35</v>
      </c>
      <c r="B45" s="57" t="s">
        <v>278</v>
      </c>
      <c r="C45" s="125" t="s">
        <v>143</v>
      </c>
      <c r="D45" s="125" t="n">
        <v>20</v>
      </c>
      <c r="E45" s="126" t="n">
        <v>1433.33</v>
      </c>
      <c r="F45" s="142" t="s">
        <v>279</v>
      </c>
      <c r="G45" s="34" t="n">
        <f aca="false">1878/1.2</f>
        <v>1565</v>
      </c>
      <c r="H45" s="34" t="n">
        <f aca="false">D45*G45</f>
        <v>31300</v>
      </c>
      <c r="I45" s="42" t="s">
        <v>280</v>
      </c>
      <c r="J45" s="34" t="n">
        <f aca="false">1850/1.2</f>
        <v>1541.67</v>
      </c>
      <c r="K45" s="34" t="n">
        <f aca="false">D45*J45</f>
        <v>30833.4</v>
      </c>
      <c r="L45" s="42" t="s">
        <v>281</v>
      </c>
      <c r="M45" s="34" t="n">
        <f aca="false">1900/1.2</f>
        <v>1583.33</v>
      </c>
      <c r="N45" s="34" t="n">
        <f aca="false">D45*M45</f>
        <v>31666.6</v>
      </c>
      <c r="O45" s="127" t="n">
        <f aca="false">AVERAGE(G45,J45,M45)</f>
        <v>1563.33</v>
      </c>
      <c r="P45" s="36" t="n">
        <f aca="false">E45*100/O45-100</f>
        <v>-8.31558276243659</v>
      </c>
      <c r="Q45" s="127" t="n">
        <f aca="false">D45*E45</f>
        <v>28666.6</v>
      </c>
      <c r="R45" s="37"/>
      <c r="T45" s="39" t="n">
        <f aca="false">ROUND(G45*100/O45-100,0)</f>
        <v>0</v>
      </c>
      <c r="U45" s="39" t="n">
        <f aca="false">ROUND(J45*100/O45-100,0)</f>
        <v>-1</v>
      </c>
      <c r="V45" s="39" t="n">
        <f aca="false">ROUND(M45*100/O45-100,0)</f>
        <v>1</v>
      </c>
      <c r="W45" s="85" t="n">
        <f aca="false">O45/1.2</f>
        <v>1302.78</v>
      </c>
      <c r="X45" s="85" t="n">
        <f aca="false">O45*1.2</f>
        <v>1876</v>
      </c>
      <c r="Y45" s="86" t="n">
        <f aca="false">AND((G45)&gt;=MIN(W45),(G45)&lt;=MAX(X45))</f>
        <v>1</v>
      </c>
      <c r="Z45" s="86" t="n">
        <f aca="false">AND((J45)&gt;=MIN(W45),(J45)&lt;=MAX(X45))</f>
        <v>1</v>
      </c>
      <c r="AA45" s="86" t="n">
        <f aca="false">AND((M45)&gt;=MIN(W45),(M45)&lt;=MAX(X45))</f>
        <v>1</v>
      </c>
      <c r="AB45" s="95" t="s">
        <v>856</v>
      </c>
      <c r="AC45" s="88" t="n">
        <f aca="false">1760/1.2</f>
        <v>1466.67</v>
      </c>
      <c r="AD45" s="88" t="n">
        <f aca="false">AC45*D45</f>
        <v>29333.4</v>
      </c>
      <c r="AE45" s="95" t="s">
        <v>857</v>
      </c>
      <c r="AF45" s="88" t="n">
        <f aca="false">1700/1.2</f>
        <v>1416.67</v>
      </c>
      <c r="AG45" s="89" t="n">
        <f aca="false">AF45*D45</f>
        <v>28333.4</v>
      </c>
      <c r="AH45" s="95" t="s">
        <v>858</v>
      </c>
      <c r="AI45" s="88" t="n">
        <f aca="false">1700/1.2</f>
        <v>1416.67</v>
      </c>
      <c r="AJ45" s="89" t="n">
        <f aca="false">AI45*D45</f>
        <v>28333.4</v>
      </c>
      <c r="AK45" s="91" t="n">
        <f aca="false">AVERAGE(AC45,AF45,AI45)</f>
        <v>1433.34</v>
      </c>
      <c r="AL45" s="91" t="n">
        <f aca="false">((E45-AK45)/AK45)*100</f>
        <v>-0</v>
      </c>
      <c r="AM45" s="92" t="n">
        <f aca="false">AK45/1.2</f>
        <v>1194.45</v>
      </c>
      <c r="AN45" s="92" t="n">
        <f aca="false">AK45*1.2</f>
        <v>1720.01</v>
      </c>
      <c r="AO45" s="86" t="n">
        <f aca="false">AND((AC45)&gt;=MIN(AM45),(AC45)&lt;=MAX(AN45))</f>
        <v>1</v>
      </c>
      <c r="AP45" s="86" t="n">
        <f aca="false">AND((AF45)&gt;=MIN(AM45),(AF45)&lt;=MAX(AN45))</f>
        <v>1</v>
      </c>
      <c r="AQ45" s="86" t="n">
        <f aca="false">AND((AI45)&gt;=MIN(AM45),(AI45)&lt;=MAX(AN45))</f>
        <v>1</v>
      </c>
    </row>
    <row r="46" s="38" customFormat="true" ht="28.5" hidden="false" customHeight="true" outlineLevel="0" collapsed="false">
      <c r="A46" s="28" t="n">
        <v>36</v>
      </c>
      <c r="B46" s="57" t="s">
        <v>282</v>
      </c>
      <c r="C46" s="125" t="s">
        <v>143</v>
      </c>
      <c r="D46" s="125" t="n">
        <v>50</v>
      </c>
      <c r="E46" s="126" t="n">
        <v>1273.06</v>
      </c>
      <c r="F46" s="106" t="s">
        <v>1001</v>
      </c>
      <c r="G46" s="34" t="n">
        <f aca="false">2120/1.2</f>
        <v>1766.67</v>
      </c>
      <c r="H46" s="47" t="n">
        <f aca="false">D46*G46</f>
        <v>88333.5</v>
      </c>
      <c r="I46" s="42" t="s">
        <v>1002</v>
      </c>
      <c r="J46" s="34" t="n">
        <f aca="false">1778/1.2</f>
        <v>1481.67</v>
      </c>
      <c r="K46" s="47" t="n">
        <f aca="false">D46*J46</f>
        <v>74083.5</v>
      </c>
      <c r="L46" s="42" t="s">
        <v>1001</v>
      </c>
      <c r="M46" s="34" t="n">
        <f aca="false">1347/1.2</f>
        <v>1122.5</v>
      </c>
      <c r="N46" s="47" t="n">
        <f aca="false">D46*M46</f>
        <v>56125</v>
      </c>
      <c r="O46" s="127" t="n">
        <f aca="false">AVERAGE(G46,J46,M46)</f>
        <v>1456.95</v>
      </c>
      <c r="P46" s="36" t="n">
        <f aca="false">E46*100/O46-100</f>
        <v>-12.6215724630221</v>
      </c>
      <c r="Q46" s="127" t="n">
        <f aca="false">D46*E46</f>
        <v>63653</v>
      </c>
      <c r="R46" s="37"/>
      <c r="T46" s="39" t="n">
        <f aca="false">ROUND(G46*100/O46-100,0)</f>
        <v>21</v>
      </c>
      <c r="U46" s="39" t="n">
        <f aca="false">ROUND(J46*100/O46-100,0)</f>
        <v>2</v>
      </c>
      <c r="V46" s="39" t="n">
        <f aca="false">ROUND(M46*100/O46-100,0)</f>
        <v>-23</v>
      </c>
      <c r="W46" s="85" t="n">
        <f aca="false">O46/1.2</f>
        <v>1214.13</v>
      </c>
      <c r="X46" s="85" t="n">
        <f aca="false">O46*1.2</f>
        <v>1748.34</v>
      </c>
      <c r="Y46" s="86" t="n">
        <f aca="false">AND((G46)&gt;=MIN(W46),(G46)&lt;=MAX(X46))</f>
        <v>0</v>
      </c>
      <c r="Z46" s="86" t="n">
        <f aca="false">AND((J46)&gt;=MIN(W46),(J46)&lt;=MAX(X46))</f>
        <v>1</v>
      </c>
      <c r="AA46" s="86" t="n">
        <f aca="false">AND((M46)&gt;=MIN(W46),(M46)&lt;=MAX(X46))</f>
        <v>0</v>
      </c>
      <c r="AB46" s="95" t="s">
        <v>860</v>
      </c>
      <c r="AC46" s="88" t="n">
        <f aca="false">1778/1.2</f>
        <v>1481.67</v>
      </c>
      <c r="AD46" s="88" t="n">
        <f aca="false">AC46*D46</f>
        <v>74083.5</v>
      </c>
      <c r="AE46" s="95" t="s">
        <v>861</v>
      </c>
      <c r="AF46" s="88" t="n">
        <f aca="false">1347/1.2</f>
        <v>1122.5</v>
      </c>
      <c r="AG46" s="89" t="n">
        <f aca="false">AF46*D46</f>
        <v>56125</v>
      </c>
      <c r="AH46" s="95" t="s">
        <v>862</v>
      </c>
      <c r="AI46" s="88" t="n">
        <f aca="false">1458/1.2</f>
        <v>1215</v>
      </c>
      <c r="AJ46" s="89" t="n">
        <f aca="false">AI46*D46</f>
        <v>60750</v>
      </c>
      <c r="AK46" s="91" t="n">
        <f aca="false">AVERAGE(AC46,AF46,AI46)</f>
        <v>1273.06</v>
      </c>
      <c r="AL46" s="91" t="n">
        <f aca="false">((E46-AK46)/AK46)*100</f>
        <v>0</v>
      </c>
      <c r="AM46" s="92" t="n">
        <f aca="false">AK46/1.2</f>
        <v>1060.88</v>
      </c>
      <c r="AN46" s="92" t="n">
        <f aca="false">AK46*1.2</f>
        <v>1527.67</v>
      </c>
      <c r="AO46" s="86" t="n">
        <f aca="false">AND((AC46)&gt;=MIN(AM46),(AC46)&lt;=MAX(AN46))</f>
        <v>1</v>
      </c>
      <c r="AP46" s="86" t="n">
        <f aca="false">AND((AF46)&gt;=MIN(AM46),(AF46)&lt;=MAX(AN46))</f>
        <v>1</v>
      </c>
      <c r="AQ46" s="86" t="n">
        <f aca="false">AND((AI46)&gt;=MIN(AM46),(AI46)&lt;=MAX(AN46))</f>
        <v>1</v>
      </c>
    </row>
    <row r="47" s="38" customFormat="true" ht="29.25" hidden="false" customHeight="true" outlineLevel="0" collapsed="false">
      <c r="A47" s="28" t="n">
        <v>37</v>
      </c>
      <c r="B47" s="57" t="s">
        <v>286</v>
      </c>
      <c r="C47" s="125" t="s">
        <v>287</v>
      </c>
      <c r="D47" s="125" t="n">
        <v>13.7</v>
      </c>
      <c r="E47" s="126" t="n">
        <f aca="false">O47</f>
        <v>1201.07</v>
      </c>
      <c r="F47" s="106" t="s">
        <v>1003</v>
      </c>
      <c r="G47" s="34" t="n">
        <f aca="false">(447/310)*1000/1.2</f>
        <v>1201.61</v>
      </c>
      <c r="H47" s="34" t="n">
        <f aca="false">D47*G47</f>
        <v>16462.06</v>
      </c>
      <c r="I47" s="33" t="s">
        <v>1004</v>
      </c>
      <c r="J47" s="34" t="n">
        <f aca="false">(399/310)*1000/1.2</f>
        <v>1072.58</v>
      </c>
      <c r="K47" s="34" t="n">
        <f aca="false">D47*J47</f>
        <v>14694.35</v>
      </c>
      <c r="L47" s="33" t="s">
        <v>1005</v>
      </c>
      <c r="M47" s="34" t="n">
        <f aca="false">(494.4/310)*1000/1.2</f>
        <v>1329.03</v>
      </c>
      <c r="N47" s="34" t="n">
        <f aca="false">D47*M47</f>
        <v>18207.71</v>
      </c>
      <c r="O47" s="127" t="n">
        <f aca="false">AVERAGE(G47,J47,M47)</f>
        <v>1201.07</v>
      </c>
      <c r="P47" s="36" t="n">
        <f aca="false">E47*100/O47-100</f>
        <v>0</v>
      </c>
      <c r="Q47" s="127" t="n">
        <f aca="false">D47*E47</f>
        <v>16454.66</v>
      </c>
      <c r="R47" s="37"/>
      <c r="T47" s="39" t="n">
        <f aca="false">ROUND(G47*100/O47-100,0)</f>
        <v>0</v>
      </c>
      <c r="U47" s="39" t="n">
        <f aca="false">ROUND(J47*100/O47-100,0)</f>
        <v>-11</v>
      </c>
      <c r="V47" s="39" t="n">
        <f aca="false">ROUND(M47*100/O47-100,0)</f>
        <v>11</v>
      </c>
      <c r="W47" s="85" t="n">
        <f aca="false">O47/1.2</f>
        <v>1000.89</v>
      </c>
      <c r="X47" s="85" t="n">
        <f aca="false">O47*1.2</f>
        <v>1441.28</v>
      </c>
      <c r="Y47" s="86" t="n">
        <f aca="false">AND((G47)&gt;=MIN(W47),(G47)&lt;=MAX(X47))</f>
        <v>1</v>
      </c>
      <c r="Z47" s="86" t="n">
        <f aca="false">AND((J47)&gt;=MIN(W47),(J47)&lt;=MAX(X47))</f>
        <v>1</v>
      </c>
      <c r="AA47" s="86" t="n">
        <f aca="false">AND((M47)&gt;=MIN(W47),(M47)&lt;=MAX(X47))</f>
        <v>1</v>
      </c>
      <c r="AB47" s="95"/>
      <c r="AC47" s="88"/>
      <c r="AD47" s="88" t="n">
        <f aca="false">AC47*D47</f>
        <v>0</v>
      </c>
      <c r="AE47" s="95"/>
      <c r="AF47" s="88"/>
      <c r="AG47" s="89" t="n">
        <f aca="false">AF47*D47</f>
        <v>0</v>
      </c>
      <c r="AH47" s="95"/>
      <c r="AI47" s="88"/>
      <c r="AJ47" s="89" t="n">
        <f aca="false">AI47*D47</f>
        <v>0</v>
      </c>
      <c r="AK47" s="91" t="e">
        <f aca="false">AVERAGE(AC47,AF47,AI47)</f>
        <v>#DIV/0!</v>
      </c>
      <c r="AL47" s="91" t="e">
        <f aca="false">((E47-AK47)/AK47)*100</f>
        <v>#DIV/0!</v>
      </c>
      <c r="AM47" s="92" t="e">
        <f aca="false">AK47/1.2</f>
        <v>#DIV/0!</v>
      </c>
      <c r="AN47" s="92" t="e">
        <f aca="false">AK47*1.2</f>
        <v>#DIV/0!</v>
      </c>
      <c r="AO47" s="86" t="e">
        <f aca="false">AND((AC47)&gt;=MIN(AM47),(AC47)&lt;=MAX(AN47))</f>
        <v>#DIV/0!</v>
      </c>
      <c r="AP47" s="86" t="e">
        <f aca="false">AND((AF47)&gt;=MIN(AM47),(AF47)&lt;=MAX(AN47))</f>
        <v>#DIV/0!</v>
      </c>
      <c r="AQ47" s="86" t="e">
        <f aca="false">AND((AI47)&gt;=MIN(AM47),(AI47)&lt;=MAX(AN47))</f>
        <v>#DIV/0!</v>
      </c>
    </row>
    <row r="48" s="38" customFormat="true" ht="42" hidden="false" customHeight="true" outlineLevel="0" collapsed="false">
      <c r="A48" s="28" t="n">
        <v>38</v>
      </c>
      <c r="B48" s="57" t="s">
        <v>291</v>
      </c>
      <c r="C48" s="125" t="s">
        <v>64</v>
      </c>
      <c r="D48" s="125" t="n">
        <v>122</v>
      </c>
      <c r="E48" s="126" t="n">
        <f aca="false">O48</f>
        <v>148.05</v>
      </c>
      <c r="F48" s="106" t="s">
        <v>292</v>
      </c>
      <c r="G48" s="34" t="n">
        <f aca="false">1723/1.2/10</f>
        <v>143.58</v>
      </c>
      <c r="H48" s="34" t="n">
        <f aca="false">D48*G48</f>
        <v>17516.76</v>
      </c>
      <c r="I48" s="33" t="s">
        <v>293</v>
      </c>
      <c r="J48" s="34" t="n">
        <f aca="false">1792/1.2/10</f>
        <v>149.33</v>
      </c>
      <c r="K48" s="34" t="n">
        <f aca="false">D48*J48</f>
        <v>18218.26</v>
      </c>
      <c r="L48" s="33" t="s">
        <v>294</v>
      </c>
      <c r="M48" s="34" t="n">
        <f aca="false">1815/1.2/10</f>
        <v>151.25</v>
      </c>
      <c r="N48" s="34" t="n">
        <f aca="false">D48*M48</f>
        <v>18452.5</v>
      </c>
      <c r="O48" s="127" t="n">
        <f aca="false">AVERAGE(G48,J48,M48)</f>
        <v>148.05</v>
      </c>
      <c r="P48" s="36" t="n">
        <f aca="false">E48*100/O48-100</f>
        <v>0</v>
      </c>
      <c r="Q48" s="127" t="n">
        <f aca="false">D48*E48</f>
        <v>18062.1</v>
      </c>
      <c r="R48" s="37"/>
      <c r="T48" s="39" t="n">
        <f aca="false">ROUND(G48*100/O48-100,0)</f>
        <v>-3</v>
      </c>
      <c r="U48" s="39" t="n">
        <f aca="false">ROUND(J48*100/O48-100,0)</f>
        <v>1</v>
      </c>
      <c r="V48" s="39" t="n">
        <f aca="false">ROUND(M48*100/O48-100,0)</f>
        <v>2</v>
      </c>
      <c r="W48" s="85" t="n">
        <f aca="false">O48/1.2</f>
        <v>123.38</v>
      </c>
      <c r="X48" s="85" t="n">
        <f aca="false">O48*1.2</f>
        <v>177.66</v>
      </c>
      <c r="Y48" s="86" t="n">
        <f aca="false">AND((G48)&gt;=MIN(W48),(G48)&lt;=MAX(X48))</f>
        <v>1</v>
      </c>
      <c r="Z48" s="86" t="n">
        <f aca="false">AND((J48)&gt;=MIN(W48),(J48)&lt;=MAX(X48))</f>
        <v>1</v>
      </c>
      <c r="AA48" s="86" t="n">
        <f aca="false">AND((M48)&gt;=MIN(W48),(M48)&lt;=MAX(X48))</f>
        <v>1</v>
      </c>
      <c r="AB48" s="95" t="s">
        <v>865</v>
      </c>
      <c r="AC48" s="88" t="n">
        <f aca="false">5327/1.2/20</f>
        <v>221.96</v>
      </c>
      <c r="AD48" s="88" t="n">
        <f aca="false">AC48*D48</f>
        <v>27079.12</v>
      </c>
      <c r="AE48" s="95" t="s">
        <v>866</v>
      </c>
      <c r="AF48" s="88" t="n">
        <f aca="false">5039.2/20/1.2</f>
        <v>209.97</v>
      </c>
      <c r="AG48" s="89" t="n">
        <f aca="false">AF48*D48</f>
        <v>25616.34</v>
      </c>
      <c r="AH48" s="95" t="s">
        <v>867</v>
      </c>
      <c r="AI48" s="88" t="n">
        <f aca="false">5848/20/1.2</f>
        <v>243.67</v>
      </c>
      <c r="AJ48" s="89" t="n">
        <f aca="false">AI48*D48</f>
        <v>29727.74</v>
      </c>
      <c r="AK48" s="91" t="n">
        <f aca="false">AVERAGE(AC48,AF48,AI48)</f>
        <v>225.2</v>
      </c>
      <c r="AL48" s="91" t="n">
        <f aca="false">((E48-AK48)/AK48)*100</f>
        <v>-34.26</v>
      </c>
      <c r="AM48" s="92" t="n">
        <f aca="false">AK48/1.2</f>
        <v>187.67</v>
      </c>
      <c r="AN48" s="92" t="n">
        <f aca="false">AK48*1.2</f>
        <v>270.24</v>
      </c>
      <c r="AO48" s="86" t="n">
        <f aca="false">AND((AC48)&gt;=MIN(AM48),(AC48)&lt;=MAX(AN48))</f>
        <v>1</v>
      </c>
      <c r="AP48" s="86" t="n">
        <f aca="false">AND((AF48)&gt;=MIN(AM48),(AF48)&lt;=MAX(AN48))</f>
        <v>1</v>
      </c>
      <c r="AQ48" s="86" t="n">
        <f aca="false">AND((AI48)&gt;=MIN(AM48),(AI48)&lt;=MAX(AN48))</f>
        <v>1</v>
      </c>
    </row>
    <row r="49" s="149" customFormat="true" ht="36" hidden="false" customHeight="true" outlineLevel="0" collapsed="false">
      <c r="A49" s="28" t="n">
        <v>39</v>
      </c>
      <c r="B49" s="57" t="s">
        <v>335</v>
      </c>
      <c r="C49" s="125" t="s">
        <v>27</v>
      </c>
      <c r="D49" s="125" t="n">
        <v>2</v>
      </c>
      <c r="E49" s="126" t="n">
        <v>222.39</v>
      </c>
      <c r="F49" s="142" t="s">
        <v>336</v>
      </c>
      <c r="G49" s="34" t="n">
        <f aca="false">452.79/1.2</f>
        <v>377.33</v>
      </c>
      <c r="H49" s="34" t="n">
        <f aca="false">D49*G49</f>
        <v>754.66</v>
      </c>
      <c r="I49" s="42" t="s">
        <v>337</v>
      </c>
      <c r="J49" s="34" t="n">
        <f aca="false">540/1.2</f>
        <v>450</v>
      </c>
      <c r="K49" s="34" t="n">
        <f aca="false">D49*J49</f>
        <v>900</v>
      </c>
      <c r="L49" s="42" t="s">
        <v>338</v>
      </c>
      <c r="M49" s="34" t="n">
        <f aca="false">520/1.2</f>
        <v>433.33</v>
      </c>
      <c r="N49" s="34" t="n">
        <f aca="false">D49*M49</f>
        <v>866.66</v>
      </c>
      <c r="O49" s="127" t="n">
        <f aca="false">AVERAGE(G49,J49,M49)</f>
        <v>420.22</v>
      </c>
      <c r="P49" s="36" t="n">
        <f aca="false">E49*100/O49-100</f>
        <v>-47.0777211936605</v>
      </c>
      <c r="Q49" s="127" t="n">
        <f aca="false">D49*E49</f>
        <v>444.78</v>
      </c>
      <c r="R49" s="37"/>
      <c r="S49" s="38"/>
      <c r="T49" s="147" t="n">
        <f aca="false">ROUND(G49*100/O49-100,0)</f>
        <v>-10</v>
      </c>
      <c r="U49" s="147" t="n">
        <f aca="false">ROUND(J49*100/O49-100,0)</f>
        <v>7</v>
      </c>
      <c r="V49" s="147" t="n">
        <f aca="false">ROUND(M49*100/O49-100,0)</f>
        <v>3</v>
      </c>
      <c r="W49" s="85" t="n">
        <f aca="false">O49/1.2</f>
        <v>350.18</v>
      </c>
      <c r="X49" s="85" t="n">
        <f aca="false">O49*1.2</f>
        <v>504.26</v>
      </c>
      <c r="Y49" s="86" t="n">
        <f aca="false">AND((G49)&gt;=MIN(W49),(G49)&lt;=MAX(X49))</f>
        <v>1</v>
      </c>
      <c r="Z49" s="86" t="n">
        <f aca="false">AND((J49)&gt;=MIN(W49),(J49)&lt;=MAX(X49))</f>
        <v>1</v>
      </c>
      <c r="AA49" s="86" t="n">
        <f aca="false">AND((M49)&gt;=MIN(W49),(M49)&lt;=MAX(X49))</f>
        <v>1</v>
      </c>
      <c r="AB49" s="95" t="s">
        <v>868</v>
      </c>
      <c r="AC49" s="88" t="n">
        <f aca="false">241.32/1.2</f>
        <v>201.1</v>
      </c>
      <c r="AD49" s="88" t="n">
        <f aca="false">AC49*D49</f>
        <v>402.2</v>
      </c>
      <c r="AE49" s="95" t="s">
        <v>869</v>
      </c>
      <c r="AF49" s="88" t="n">
        <f aca="false">272.3/1.2</f>
        <v>226.92</v>
      </c>
      <c r="AG49" s="89" t="n">
        <f aca="false">AF49*D49</f>
        <v>453.84</v>
      </c>
      <c r="AH49" s="95" t="s">
        <v>870</v>
      </c>
      <c r="AI49" s="88" t="n">
        <f aca="false">287/1.2</f>
        <v>239.17</v>
      </c>
      <c r="AJ49" s="89" t="n">
        <f aca="false">AI49*D49</f>
        <v>478.34</v>
      </c>
      <c r="AK49" s="91" t="n">
        <f aca="false">AVERAGE(AC49,AF49,AI49)</f>
        <v>222.4</v>
      </c>
      <c r="AL49" s="148" t="n">
        <f aca="false">((E49-AK49)/AK49)*100</f>
        <v>-0</v>
      </c>
      <c r="AM49" s="92" t="n">
        <f aca="false">AK49/1.2</f>
        <v>185.33</v>
      </c>
      <c r="AN49" s="92" t="n">
        <f aca="false">AK49*1.2</f>
        <v>266.88</v>
      </c>
      <c r="AO49" s="86" t="n">
        <f aca="false">AND((AC49)&gt;=MIN(AM49),(AC49)&lt;=MAX(AN49))</f>
        <v>1</v>
      </c>
      <c r="AP49" s="86" t="n">
        <f aca="false">AND((AF49)&gt;=MIN(AM49),(AF49)&lt;=MAX(AN49))</f>
        <v>1</v>
      </c>
      <c r="AQ49" s="86" t="n">
        <f aca="false">AND((AI49)&gt;=MIN(AM49),(AI49)&lt;=MAX(AN49))</f>
        <v>1</v>
      </c>
    </row>
    <row r="50" s="149" customFormat="true" ht="42.75" hidden="false" customHeight="true" outlineLevel="0" collapsed="false">
      <c r="A50" s="28" t="n">
        <v>40</v>
      </c>
      <c r="B50" s="57" t="s">
        <v>339</v>
      </c>
      <c r="C50" s="125" t="s">
        <v>27</v>
      </c>
      <c r="D50" s="125" t="n">
        <v>1.8</v>
      </c>
      <c r="E50" s="126" t="n">
        <v>249.03</v>
      </c>
      <c r="F50" s="150" t="s">
        <v>340</v>
      </c>
      <c r="G50" s="34" t="n">
        <f aca="false">332/1.2</f>
        <v>276.67</v>
      </c>
      <c r="H50" s="34" t="n">
        <f aca="false">D50*G50</f>
        <v>498.01</v>
      </c>
      <c r="I50" s="42" t="s">
        <v>341</v>
      </c>
      <c r="J50" s="34" t="n">
        <f aca="false">368.88/1.2</f>
        <v>307.4</v>
      </c>
      <c r="K50" s="34" t="n">
        <f aca="false">D50*J50</f>
        <v>553.32</v>
      </c>
      <c r="L50" s="42" t="s">
        <v>342</v>
      </c>
      <c r="M50" s="34" t="n">
        <f aca="false">330.77/1.2</f>
        <v>275.64</v>
      </c>
      <c r="N50" s="34" t="n">
        <f aca="false">D50*M50</f>
        <v>496.15</v>
      </c>
      <c r="O50" s="127" t="n">
        <f aca="false">AVERAGE(G50,J50,M50)</f>
        <v>286.57</v>
      </c>
      <c r="P50" s="36" t="n">
        <f aca="false">E50*100/O50-100</f>
        <v>-13.0997662002303</v>
      </c>
      <c r="Q50" s="127" t="n">
        <f aca="false">D50*E50</f>
        <v>448.25</v>
      </c>
      <c r="R50" s="37"/>
      <c r="S50" s="38"/>
      <c r="T50" s="147" t="n">
        <f aca="false">ROUND(G50*100/O50-100,0)</f>
        <v>-3</v>
      </c>
      <c r="U50" s="147" t="n">
        <f aca="false">ROUND(J50*100/O50-100,0)</f>
        <v>7</v>
      </c>
      <c r="V50" s="147" t="n">
        <f aca="false">ROUND(M50*100/O50-100,0)</f>
        <v>-4</v>
      </c>
      <c r="W50" s="85" t="n">
        <f aca="false">O50/1.2</f>
        <v>238.81</v>
      </c>
      <c r="X50" s="85" t="n">
        <f aca="false">O50*1.2</f>
        <v>343.88</v>
      </c>
      <c r="Y50" s="86" t="n">
        <f aca="false">AND((G50)&gt;=MIN(W50),(G50)&lt;=MAX(X50))</f>
        <v>1</v>
      </c>
      <c r="Z50" s="86" t="n">
        <f aca="false">AND((J50)&gt;=MIN(W50),(J50)&lt;=MAX(X50))</f>
        <v>1</v>
      </c>
      <c r="AA50" s="86" t="n">
        <f aca="false">AND((M50)&gt;=MIN(W50),(M50)&lt;=MAX(X50))</f>
        <v>1</v>
      </c>
      <c r="AB50" s="95" t="s">
        <v>871</v>
      </c>
      <c r="AC50" s="88" t="n">
        <f aca="false">287/1.2</f>
        <v>239.17</v>
      </c>
      <c r="AD50" s="88" t="n">
        <f aca="false">AC50*D50</f>
        <v>430.51</v>
      </c>
      <c r="AE50" s="95" t="s">
        <v>872</v>
      </c>
      <c r="AF50" s="88" t="n">
        <f aca="false">302.5/1.2</f>
        <v>252.08</v>
      </c>
      <c r="AG50" s="89" t="n">
        <f aca="false">AF50*D50</f>
        <v>453.74</v>
      </c>
      <c r="AH50" s="95" t="s">
        <v>873</v>
      </c>
      <c r="AI50" s="88" t="n">
        <f aca="false">307/1.2</f>
        <v>255.83</v>
      </c>
      <c r="AJ50" s="89" t="n">
        <f aca="false">AI50*D50</f>
        <v>460.49</v>
      </c>
      <c r="AK50" s="91" t="n">
        <f aca="false">AVERAGE(AC50,AF50,AI50)</f>
        <v>249.03</v>
      </c>
      <c r="AL50" s="148" t="n">
        <f aca="false">((E50-AK50)/AK50)*100</f>
        <v>0</v>
      </c>
      <c r="AM50" s="92" t="n">
        <f aca="false">AK50/1.2</f>
        <v>207.53</v>
      </c>
      <c r="AN50" s="92" t="n">
        <f aca="false">AK50*1.2</f>
        <v>298.84</v>
      </c>
      <c r="AO50" s="86" t="n">
        <f aca="false">AND((AC50)&gt;=MIN(AM50),(AC50)&lt;=MAX(AN50))</f>
        <v>1</v>
      </c>
      <c r="AP50" s="86" t="n">
        <f aca="false">AND((AF50)&gt;=MIN(AM50),(AF50)&lt;=MAX(AN50))</f>
        <v>1</v>
      </c>
      <c r="AQ50" s="86" t="n">
        <f aca="false">AND((AI50)&gt;=MIN(AM50),(AI50)&lt;=MAX(AN50))</f>
        <v>1</v>
      </c>
    </row>
    <row r="51" s="38" customFormat="true" ht="44.25" hidden="false" customHeight="true" outlineLevel="0" collapsed="false">
      <c r="A51" s="28" t="n">
        <v>41</v>
      </c>
      <c r="B51" s="57" t="s">
        <v>1006</v>
      </c>
      <c r="C51" s="125" t="s">
        <v>344</v>
      </c>
      <c r="D51" s="125" t="n">
        <v>120</v>
      </c>
      <c r="E51" s="126" t="n">
        <f aca="false">O51</f>
        <v>408.61</v>
      </c>
      <c r="F51" s="106" t="s">
        <v>1007</v>
      </c>
      <c r="G51" s="34" t="n">
        <f aca="false">484/1.2</f>
        <v>403.33</v>
      </c>
      <c r="H51" s="34" t="n">
        <f aca="false">D51*G51</f>
        <v>48399.6</v>
      </c>
      <c r="I51" s="106" t="s">
        <v>1008</v>
      </c>
      <c r="J51" s="34" t="n">
        <f aca="false">487/1.2</f>
        <v>405.83</v>
      </c>
      <c r="K51" s="34" t="n">
        <f aca="false">D51*J51</f>
        <v>48699.6</v>
      </c>
      <c r="L51" s="42" t="s">
        <v>1009</v>
      </c>
      <c r="M51" s="34" t="n">
        <f aca="false">500/1.2</f>
        <v>416.67</v>
      </c>
      <c r="N51" s="34" t="n">
        <f aca="false">D51*M51</f>
        <v>50000.4</v>
      </c>
      <c r="O51" s="127" t="n">
        <f aca="false">AVERAGE(G51,J51,M51)</f>
        <v>408.61</v>
      </c>
      <c r="P51" s="36" t="n">
        <f aca="false">E51*100/O51-100</f>
        <v>0</v>
      </c>
      <c r="Q51" s="127" t="n">
        <f aca="false">D51*E51</f>
        <v>49033.2</v>
      </c>
      <c r="R51" s="37"/>
      <c r="T51" s="39" t="n">
        <f aca="false">ROUND(G51*100/O51-100,0)</f>
        <v>-1</v>
      </c>
      <c r="U51" s="39" t="n">
        <f aca="false">ROUND(J51*100/O51-100,0)</f>
        <v>-1</v>
      </c>
      <c r="V51" s="39" t="n">
        <f aca="false">ROUND(M51*100/O51-100,0)</f>
        <v>2</v>
      </c>
      <c r="W51" s="85" t="n">
        <f aca="false">O51/1.2</f>
        <v>340.51</v>
      </c>
      <c r="X51" s="85" t="n">
        <f aca="false">O51*1.2</f>
        <v>490.33</v>
      </c>
      <c r="Y51" s="86" t="n">
        <f aca="false">AND((G51)&gt;=MIN(W51),(G51)&lt;=MAX(X51))</f>
        <v>1</v>
      </c>
      <c r="Z51" s="86" t="n">
        <f aca="false">AND((J51)&gt;=MIN(W51),(J51)&lt;=MAX(X51))</f>
        <v>1</v>
      </c>
      <c r="AA51" s="86" t="n">
        <f aca="false">AND((M51)&gt;=MIN(W51),(M51)&lt;=MAX(X51))</f>
        <v>1</v>
      </c>
      <c r="AB51" s="95" t="s">
        <v>1010</v>
      </c>
      <c r="AC51" s="88" t="n">
        <f aca="false">500/1.2</f>
        <v>416.67</v>
      </c>
      <c r="AD51" s="88" t="n">
        <f aca="false">AC51*D51</f>
        <v>50000.4</v>
      </c>
      <c r="AE51" s="95" t="s">
        <v>1011</v>
      </c>
      <c r="AF51" s="88" t="n">
        <f aca="false">500/1.2</f>
        <v>416.67</v>
      </c>
      <c r="AG51" s="89" t="n">
        <f aca="false">AF51*D51</f>
        <v>50000.4</v>
      </c>
      <c r="AH51" s="95" t="s">
        <v>1012</v>
      </c>
      <c r="AI51" s="88" t="n">
        <f aca="false">654/1.2</f>
        <v>545</v>
      </c>
      <c r="AJ51" s="89" t="n">
        <f aca="false">AI51*D51</f>
        <v>65400</v>
      </c>
      <c r="AK51" s="91" t="n">
        <f aca="false">AVERAGE(AC51,AF51,AI51)</f>
        <v>459.45</v>
      </c>
      <c r="AL51" s="91" t="n">
        <f aca="false">((E51-AK51)/AK51)*100</f>
        <v>-11.07</v>
      </c>
      <c r="AM51" s="92" t="n">
        <f aca="false">AK51/1.2</f>
        <v>382.88</v>
      </c>
      <c r="AN51" s="92" t="n">
        <f aca="false">AK51*1.2</f>
        <v>551.34</v>
      </c>
      <c r="AO51" s="86" t="n">
        <f aca="false">AND((AC51)&gt;=MIN(AM51),(AC51)&lt;=MAX(AN51))</f>
        <v>1</v>
      </c>
      <c r="AP51" s="86" t="n">
        <f aca="false">AND((AF51)&gt;=MIN(AM51),(AF51)&lt;=MAX(AN51))</f>
        <v>1</v>
      </c>
      <c r="AQ51" s="86" t="n">
        <f aca="false">AND((AI51)&gt;=MIN(AM51),(AI51)&lt;=MAX(AN51))</f>
        <v>1</v>
      </c>
    </row>
    <row r="52" s="38" customFormat="true" ht="47.25" hidden="false" customHeight="true" outlineLevel="0" collapsed="false">
      <c r="A52" s="28" t="n">
        <v>42</v>
      </c>
      <c r="B52" s="57" t="s">
        <v>1013</v>
      </c>
      <c r="C52" s="125" t="s">
        <v>344</v>
      </c>
      <c r="D52" s="125" t="n">
        <v>176</v>
      </c>
      <c r="E52" s="126" t="n">
        <f aca="false">O52</f>
        <v>242.71</v>
      </c>
      <c r="F52" s="106" t="s">
        <v>1014</v>
      </c>
      <c r="G52" s="34" t="n">
        <f aca="false">285.77/1.2</f>
        <v>238.14</v>
      </c>
      <c r="H52" s="34" t="n">
        <f aca="false">D52*G52</f>
        <v>41912.64</v>
      </c>
      <c r="I52" s="49" t="s">
        <v>1015</v>
      </c>
      <c r="J52" s="34" t="n">
        <f aca="false">270/1.2</f>
        <v>225</v>
      </c>
      <c r="K52" s="34" t="n">
        <f aca="false">D52*J52</f>
        <v>39600</v>
      </c>
      <c r="L52" s="95" t="s">
        <v>1016</v>
      </c>
      <c r="M52" s="34" t="n">
        <f aca="false">318/1.2</f>
        <v>265</v>
      </c>
      <c r="N52" s="34" t="n">
        <f aca="false">D52*M52</f>
        <v>46640</v>
      </c>
      <c r="O52" s="127" t="n">
        <f aca="false">AVERAGE(G52,J52,M52)</f>
        <v>242.71</v>
      </c>
      <c r="P52" s="36" t="n">
        <f aca="false">E52*100/O52-100</f>
        <v>0</v>
      </c>
      <c r="Q52" s="127" t="n">
        <f aca="false">D52*E52</f>
        <v>42716.96</v>
      </c>
      <c r="R52" s="37"/>
      <c r="T52" s="39" t="n">
        <f aca="false">ROUND(G52*100/O52-100,0)</f>
        <v>-2</v>
      </c>
      <c r="U52" s="39" t="n">
        <f aca="false">ROUND(J52*100/O52-100,0)</f>
        <v>-7</v>
      </c>
      <c r="V52" s="39" t="n">
        <f aca="false">ROUND(M52*100/O52-100,0)</f>
        <v>9</v>
      </c>
      <c r="W52" s="85" t="n">
        <f aca="false">O52/1.2</f>
        <v>202.26</v>
      </c>
      <c r="X52" s="85" t="n">
        <f aca="false">O52*1.2</f>
        <v>291.25</v>
      </c>
      <c r="Y52" s="86" t="n">
        <f aca="false">AND((G52)&gt;=MIN(W52),(G52)&lt;=MAX(X52))</f>
        <v>1</v>
      </c>
      <c r="Z52" s="86" t="n">
        <f aca="false">AND((J52)&gt;=MIN(W52),(J52)&lt;=MAX(X52))</f>
        <v>1</v>
      </c>
      <c r="AA52" s="140" t="n">
        <f aca="false">AND((M52)&gt;=MIN(W52),(M52)&lt;=MAX(X52))</f>
        <v>1</v>
      </c>
      <c r="AB52" s="95" t="s">
        <v>1017</v>
      </c>
      <c r="AC52" s="88" t="n">
        <f aca="false">319/1.2</f>
        <v>265.83</v>
      </c>
      <c r="AD52" s="88" t="n">
        <f aca="false">AC52*D52</f>
        <v>46786.08</v>
      </c>
      <c r="AE52" s="49" t="s">
        <v>1016</v>
      </c>
      <c r="AF52" s="88" t="n">
        <f aca="false">318/1.2</f>
        <v>265</v>
      </c>
      <c r="AG52" s="89" t="n">
        <f aca="false">AF52*D52</f>
        <v>46640</v>
      </c>
      <c r="AH52" s="95" t="s">
        <v>1018</v>
      </c>
      <c r="AI52" s="88" t="n">
        <f aca="false">373/1.2</f>
        <v>310.83</v>
      </c>
      <c r="AJ52" s="89" t="n">
        <f aca="false">AI52*D52</f>
        <v>54706.08</v>
      </c>
      <c r="AK52" s="91" t="n">
        <f aca="false">AVERAGE(AC52,AF52,AI52)</f>
        <v>280.55</v>
      </c>
      <c r="AL52" s="91" t="n">
        <f aca="false">((E52-AK52)/AK52)*100</f>
        <v>-13.49</v>
      </c>
      <c r="AM52" s="92" t="n">
        <f aca="false">AK52/1.2</f>
        <v>233.79</v>
      </c>
      <c r="AN52" s="92" t="n">
        <f aca="false">AK52*1.2</f>
        <v>336.66</v>
      </c>
      <c r="AO52" s="86" t="n">
        <f aca="false">AND((AC52)&gt;=MIN(AM52),(AC52)&lt;=MAX(AN52))</f>
        <v>1</v>
      </c>
      <c r="AP52" s="86" t="n">
        <f aca="false">AND((AF52)&gt;=MIN(AM52),(AF52)&lt;=MAX(AN52))</f>
        <v>1</v>
      </c>
      <c r="AQ52" s="86" t="n">
        <f aca="false">AND((AI52)&gt;=MIN(AM52),(AI52)&lt;=MAX(AN52))</f>
        <v>1</v>
      </c>
    </row>
    <row r="53" s="38" customFormat="true" ht="40.5" hidden="false" customHeight="true" outlineLevel="0" collapsed="false">
      <c r="A53" s="28" t="n">
        <v>43</v>
      </c>
      <c r="B53" s="57" t="s">
        <v>1019</v>
      </c>
      <c r="C53" s="125" t="s">
        <v>27</v>
      </c>
      <c r="D53" s="125" t="n">
        <v>540</v>
      </c>
      <c r="E53" s="126" t="n">
        <f aca="false">O53</f>
        <v>543.89</v>
      </c>
      <c r="F53" s="106" t="s">
        <v>386</v>
      </c>
      <c r="G53" s="34" t="n">
        <f aca="false">12980/20/1.2</f>
        <v>540.83</v>
      </c>
      <c r="H53" s="34" t="n">
        <f aca="false">D53*G53</f>
        <v>292048.2</v>
      </c>
      <c r="I53" s="106" t="s">
        <v>387</v>
      </c>
      <c r="J53" s="34" t="n">
        <f aca="false">6300/10/1.2</f>
        <v>525</v>
      </c>
      <c r="K53" s="34" t="n">
        <f aca="false">D53*J53</f>
        <v>283500</v>
      </c>
      <c r="L53" s="139" t="s">
        <v>1020</v>
      </c>
      <c r="M53" s="34" t="n">
        <f aca="false">679/1.2</f>
        <v>565.83</v>
      </c>
      <c r="N53" s="34" t="n">
        <f aca="false">D53*M53</f>
        <v>305548.2</v>
      </c>
      <c r="O53" s="127" t="n">
        <f aca="false">AVERAGE(G53,J53,M53)</f>
        <v>543.89</v>
      </c>
      <c r="P53" s="36" t="n">
        <f aca="false">E53*100/O53-100</f>
        <v>0</v>
      </c>
      <c r="Q53" s="127" t="n">
        <f aca="false">D53*E53</f>
        <v>293700.6</v>
      </c>
      <c r="R53" s="37"/>
      <c r="T53" s="39" t="n">
        <f aca="false">ROUND(G53*100/O53-100,0)</f>
        <v>-1</v>
      </c>
      <c r="U53" s="39" t="n">
        <f aca="false">ROUND(J53*100/O53-100,0)</f>
        <v>-3</v>
      </c>
      <c r="V53" s="39" t="n">
        <f aca="false">ROUND(M53*100/O53-100,0)</f>
        <v>4</v>
      </c>
      <c r="W53" s="85" t="n">
        <f aca="false">O53/1.2</f>
        <v>453.24</v>
      </c>
      <c r="X53" s="85" t="n">
        <f aca="false">O53*1.2</f>
        <v>652.67</v>
      </c>
      <c r="Y53" s="86" t="n">
        <f aca="false">AND((G53)&gt;=MIN(W53),(G53)&lt;=MAX(X53))</f>
        <v>1</v>
      </c>
      <c r="Z53" s="86" t="n">
        <f aca="false">AND((J53)&gt;=MIN(W53),(J53)&lt;=MAX(X53))</f>
        <v>1</v>
      </c>
      <c r="AA53" s="86" t="n">
        <f aca="false">AND((M53)&gt;=MIN(W53),(M53)&lt;=MAX(X53))</f>
        <v>1</v>
      </c>
      <c r="AB53" s="95" t="s">
        <v>877</v>
      </c>
      <c r="AC53" s="88" t="n">
        <f aca="false">649/1.2</f>
        <v>540.83</v>
      </c>
      <c r="AD53" s="88" t="n">
        <f aca="false">AC53*D53</f>
        <v>292048.2</v>
      </c>
      <c r="AE53" s="95" t="s">
        <v>878</v>
      </c>
      <c r="AF53" s="88" t="n">
        <f aca="false">14927/20/1.2</f>
        <v>621.96</v>
      </c>
      <c r="AG53" s="89" t="n">
        <f aca="false">AF53*D53</f>
        <v>335858.4</v>
      </c>
      <c r="AH53" s="95" t="s">
        <v>386</v>
      </c>
      <c r="AI53" s="88" t="n">
        <f aca="false">12980/20/1.2</f>
        <v>540.83</v>
      </c>
      <c r="AJ53" s="89" t="n">
        <f aca="false">AI53*D53</f>
        <v>292048.2</v>
      </c>
      <c r="AK53" s="91" t="n">
        <f aca="false">AVERAGE(AC53,AF53,AI53)</f>
        <v>567.87</v>
      </c>
      <c r="AL53" s="91" t="n">
        <f aca="false">((E53-AK53)/AK53)*100</f>
        <v>-4.22</v>
      </c>
      <c r="AM53" s="92" t="n">
        <f aca="false">AK53/1.2</f>
        <v>473.23</v>
      </c>
      <c r="AN53" s="92" t="n">
        <f aca="false">AK53*1.2</f>
        <v>681.44</v>
      </c>
      <c r="AO53" s="86" t="n">
        <f aca="false">AND((AC53)&gt;=MIN(AM53),(AC53)&lt;=MAX(AN53))</f>
        <v>1</v>
      </c>
      <c r="AP53" s="86" t="n">
        <f aca="false">AND((AF53)&gt;=MIN(AM53),(AF53)&lt;=MAX(AN53))</f>
        <v>1</v>
      </c>
      <c r="AQ53" s="86" t="n">
        <f aca="false">AND((AI53)&gt;=MIN(AM53),(AI53)&lt;=MAX(AN53))</f>
        <v>1</v>
      </c>
    </row>
    <row r="54" s="38" customFormat="true" ht="40.5" hidden="false" customHeight="true" outlineLevel="0" collapsed="false">
      <c r="A54" s="28" t="n">
        <v>44</v>
      </c>
      <c r="B54" s="57" t="s">
        <v>1021</v>
      </c>
      <c r="C54" s="125" t="s">
        <v>27</v>
      </c>
      <c r="D54" s="125" t="n">
        <v>120</v>
      </c>
      <c r="E54" s="126" t="n">
        <f aca="false">AK54</f>
        <v>497.88</v>
      </c>
      <c r="F54" s="142" t="s">
        <v>390</v>
      </c>
      <c r="G54" s="34" t="n">
        <f aca="false">15200/17/1.2</f>
        <v>745.1</v>
      </c>
      <c r="H54" s="34" t="n">
        <f aca="false">D54*G54</f>
        <v>89412</v>
      </c>
      <c r="I54" s="106" t="s">
        <v>1022</v>
      </c>
      <c r="J54" s="34" t="n">
        <f aca="false">599/1.2</f>
        <v>499.17</v>
      </c>
      <c r="K54" s="34" t="n">
        <f aca="false">D54*J54</f>
        <v>59900.4</v>
      </c>
      <c r="L54" s="42" t="s">
        <v>392</v>
      </c>
      <c r="M54" s="34" t="n">
        <f aca="false">13777/20/1.2</f>
        <v>574.04</v>
      </c>
      <c r="N54" s="34" t="n">
        <f aca="false">D54*M54</f>
        <v>68884.8</v>
      </c>
      <c r="O54" s="127" t="n">
        <f aca="false">AVERAGE(G54,J54,M54)</f>
        <v>606.1</v>
      </c>
      <c r="P54" s="36" t="n">
        <f aca="false">E54*100/O54-100</f>
        <v>-17.855139415938</v>
      </c>
      <c r="Q54" s="127" t="n">
        <f aca="false">D54*E54</f>
        <v>59745.6</v>
      </c>
      <c r="R54" s="37"/>
      <c r="T54" s="39" t="n">
        <f aca="false">ROUND(G54*100/O54-100,0)</f>
        <v>23</v>
      </c>
      <c r="U54" s="39" t="n">
        <f aca="false">ROUND(J54*100/O54-100,0)</f>
        <v>-18</v>
      </c>
      <c r="V54" s="39" t="n">
        <f aca="false">ROUND(M54*100/O54-100,0)</f>
        <v>-5</v>
      </c>
      <c r="W54" s="85" t="n">
        <f aca="false">O54/1.2</f>
        <v>505.08</v>
      </c>
      <c r="X54" s="85" t="n">
        <f aca="false">O54*1.2</f>
        <v>727.32</v>
      </c>
      <c r="Y54" s="86" t="n">
        <f aca="false">AND((G54)&gt;=MIN(W54),(G54)&lt;=MAX(X54))</f>
        <v>0</v>
      </c>
      <c r="Z54" s="86" t="n">
        <f aca="false">AND((J54)&gt;=MIN(W54),(J54)&lt;=MAX(X54))</f>
        <v>0</v>
      </c>
      <c r="AA54" s="86" t="n">
        <f aca="false">AND((M54)&gt;=MIN(W54),(M54)&lt;=MAX(X54))</f>
        <v>1</v>
      </c>
      <c r="AB54" s="95" t="s">
        <v>877</v>
      </c>
      <c r="AC54" s="88" t="n">
        <f aca="false">569/1.2</f>
        <v>474.17</v>
      </c>
      <c r="AD54" s="88" t="n">
        <f aca="false">AC54*D54</f>
        <v>56900.4</v>
      </c>
      <c r="AE54" s="95" t="s">
        <v>878</v>
      </c>
      <c r="AF54" s="88" t="n">
        <f aca="false">13087/20/1.2</f>
        <v>545.29</v>
      </c>
      <c r="AG54" s="89" t="n">
        <f aca="false">AF54*D54</f>
        <v>65434.8</v>
      </c>
      <c r="AH54" s="95" t="s">
        <v>880</v>
      </c>
      <c r="AI54" s="88" t="n">
        <f aca="false">11380/20/1.2</f>
        <v>474.17</v>
      </c>
      <c r="AJ54" s="89" t="n">
        <f aca="false">AI54*D54</f>
        <v>56900.4</v>
      </c>
      <c r="AK54" s="91" t="n">
        <f aca="false">AVERAGE(AC54,AF54,AI54)</f>
        <v>497.88</v>
      </c>
      <c r="AL54" s="91" t="n">
        <f aca="false">((E54-AK54)/AK54)*100</f>
        <v>0</v>
      </c>
      <c r="AM54" s="92" t="n">
        <f aca="false">AK54/1.2</f>
        <v>414.9</v>
      </c>
      <c r="AN54" s="92" t="n">
        <f aca="false">AK54*1.2</f>
        <v>597.46</v>
      </c>
      <c r="AO54" s="86" t="n">
        <f aca="false">AND((AC54)&gt;=MIN(AM54),(AC54)&lt;=MAX(AN54))</f>
        <v>1</v>
      </c>
      <c r="AP54" s="86" t="n">
        <f aca="false">AND((AF54)&gt;=MIN(AM54),(AF54)&lt;=MAX(AN54))</f>
        <v>1</v>
      </c>
      <c r="AQ54" s="86" t="n">
        <f aca="false">AND((AI54)&gt;=MIN(AM54),(AI54)&lt;=MAX(AN54))</f>
        <v>1</v>
      </c>
    </row>
    <row r="55" s="38" customFormat="true" ht="40.5" hidden="false" customHeight="true" outlineLevel="0" collapsed="false">
      <c r="A55" s="143" t="n">
        <v>45</v>
      </c>
      <c r="B55" s="144" t="s">
        <v>1023</v>
      </c>
      <c r="C55" s="145" t="s">
        <v>27</v>
      </c>
      <c r="D55" s="145" t="n">
        <v>120</v>
      </c>
      <c r="E55" s="126" t="n">
        <f aca="false">AK55</f>
        <v>607.32</v>
      </c>
      <c r="F55" s="142" t="s">
        <v>394</v>
      </c>
      <c r="G55" s="34" t="n">
        <f aca="false">21420/17/1.2</f>
        <v>1050</v>
      </c>
      <c r="H55" s="34" t="n">
        <f aca="false">D55*G55</f>
        <v>126000</v>
      </c>
      <c r="I55" s="106" t="s">
        <v>1020</v>
      </c>
      <c r="J55" s="34" t="n">
        <f aca="false">727/1.2</f>
        <v>605.83</v>
      </c>
      <c r="K55" s="34" t="n">
        <f aca="false">D55*J55</f>
        <v>72699.6</v>
      </c>
      <c r="L55" s="139" t="s">
        <v>1024</v>
      </c>
      <c r="M55" s="34" t="n">
        <f aca="false">624.45/1.2</f>
        <v>520.38</v>
      </c>
      <c r="N55" s="34" t="n">
        <f aca="false">D55*M55</f>
        <v>62445.6</v>
      </c>
      <c r="O55" s="127" t="n">
        <f aca="false">AVERAGE(G55,J55,M55)</f>
        <v>725.4</v>
      </c>
      <c r="P55" s="36" t="n">
        <f aca="false">E55*100/O55-100</f>
        <v>-16.2779156327543</v>
      </c>
      <c r="Q55" s="127" t="n">
        <f aca="false">D55*E55</f>
        <v>72878.4</v>
      </c>
      <c r="R55" s="37"/>
      <c r="T55" s="39" t="n">
        <f aca="false">ROUND(G55*100/O55-100,0)</f>
        <v>45</v>
      </c>
      <c r="U55" s="39" t="n">
        <f aca="false">ROUND(J55*100/O55-100,0)</f>
        <v>-16</v>
      </c>
      <c r="V55" s="39" t="n">
        <f aca="false">ROUND(M55*100/O55-100,0)</f>
        <v>-28</v>
      </c>
      <c r="W55" s="85" t="n">
        <f aca="false">O55/1.2</f>
        <v>604.5</v>
      </c>
      <c r="X55" s="85" t="n">
        <f aca="false">O55*1.2</f>
        <v>870.48</v>
      </c>
      <c r="Y55" s="86" t="n">
        <f aca="false">AND((G55)&gt;=MIN(W55),(G55)&lt;=MAX(X55))</f>
        <v>0</v>
      </c>
      <c r="Z55" s="86" t="n">
        <f aca="false">AND((J55)&gt;=MIN(W55),(J55)&lt;=MAX(X55))</f>
        <v>1</v>
      </c>
      <c r="AA55" s="86" t="n">
        <f aca="false">AND((M55)&gt;=MIN(W55),(M55)&lt;=MAX(X55))</f>
        <v>0</v>
      </c>
      <c r="AB55" s="95" t="s">
        <v>877</v>
      </c>
      <c r="AC55" s="88" t="n">
        <f aca="false">697/1.2</f>
        <v>580.83</v>
      </c>
      <c r="AD55" s="88" t="n">
        <f aca="false">AC55*D55</f>
        <v>69699.6</v>
      </c>
      <c r="AE55" s="95" t="s">
        <v>878</v>
      </c>
      <c r="AF55" s="88" t="n">
        <f aca="false">15847/20/1.2</f>
        <v>660.29</v>
      </c>
      <c r="AG55" s="89" t="n">
        <f aca="false">AF55*D55</f>
        <v>79234.8</v>
      </c>
      <c r="AH55" s="95" t="s">
        <v>882</v>
      </c>
      <c r="AI55" s="88" t="n">
        <f aca="false">13940/20/1.2</f>
        <v>580.83</v>
      </c>
      <c r="AJ55" s="89" t="n">
        <f aca="false">AI55*D55</f>
        <v>69699.6</v>
      </c>
      <c r="AK55" s="91" t="n">
        <f aca="false">AVERAGE(AC55,AF55,AI55)</f>
        <v>607.32</v>
      </c>
      <c r="AL55" s="91" t="n">
        <f aca="false">((E55-AK55)/AK55)*100</f>
        <v>0</v>
      </c>
      <c r="AM55" s="92" t="n">
        <f aca="false">AK55/1.2</f>
        <v>506.1</v>
      </c>
      <c r="AN55" s="92" t="n">
        <f aca="false">AK55*1.2</f>
        <v>728.78</v>
      </c>
      <c r="AO55" s="86" t="n">
        <f aca="false">AND((AC55)&gt;=MIN(AM55),(AC55)&lt;=MAX(AN55))</f>
        <v>1</v>
      </c>
      <c r="AP55" s="86" t="n">
        <f aca="false">AND((AF55)&gt;=MIN(AM55),(AF55)&lt;=MAX(AN55))</f>
        <v>1</v>
      </c>
      <c r="AQ55" s="86" t="n">
        <f aca="false">AND((AI55)&gt;=MIN(AM55),(AI55)&lt;=MAX(AN55))</f>
        <v>1</v>
      </c>
    </row>
    <row r="56" s="38" customFormat="true" ht="40.5" hidden="false" customHeight="true" outlineLevel="0" collapsed="false">
      <c r="A56" s="28" t="n">
        <v>46</v>
      </c>
      <c r="B56" s="57" t="s">
        <v>1025</v>
      </c>
      <c r="C56" s="125" t="s">
        <v>27</v>
      </c>
      <c r="D56" s="125" t="n">
        <v>70</v>
      </c>
      <c r="E56" s="126" t="n">
        <f aca="false">AK56</f>
        <v>497.88</v>
      </c>
      <c r="F56" s="142" t="s">
        <v>398</v>
      </c>
      <c r="G56" s="34" t="n">
        <f aca="false">17400/20/1.2</f>
        <v>725</v>
      </c>
      <c r="H56" s="34" t="n">
        <f aca="false">D56*G56</f>
        <v>50750</v>
      </c>
      <c r="I56" s="106" t="s">
        <v>1020</v>
      </c>
      <c r="J56" s="34" t="n">
        <f aca="false">599/1.2</f>
        <v>499.17</v>
      </c>
      <c r="K56" s="34" t="n">
        <f aca="false">D56*J56</f>
        <v>34941.9</v>
      </c>
      <c r="L56" s="42" t="s">
        <v>400</v>
      </c>
      <c r="M56" s="34" t="n">
        <f aca="false">700/1.2</f>
        <v>583.33</v>
      </c>
      <c r="N56" s="34" t="n">
        <f aca="false">D56*M56</f>
        <v>40833.1</v>
      </c>
      <c r="O56" s="127" t="n">
        <f aca="false">AVERAGE(G56,J56,M56)</f>
        <v>602.5</v>
      </c>
      <c r="P56" s="36" t="n">
        <f aca="false">E56*100/O56-100</f>
        <v>-17.3643153526971</v>
      </c>
      <c r="Q56" s="127" t="n">
        <f aca="false">D56*E56</f>
        <v>34851.6</v>
      </c>
      <c r="R56" s="37"/>
      <c r="T56" s="39" t="n">
        <f aca="false">ROUND(G56*100/O56-100,0)</f>
        <v>20</v>
      </c>
      <c r="U56" s="39" t="n">
        <f aca="false">ROUND(J56*100/O56-100,0)</f>
        <v>-17</v>
      </c>
      <c r="V56" s="39" t="n">
        <f aca="false">ROUND(M56*100/O56-100,0)</f>
        <v>-3</v>
      </c>
      <c r="W56" s="85" t="n">
        <f aca="false">O56/1.2</f>
        <v>502.08</v>
      </c>
      <c r="X56" s="85" t="n">
        <f aca="false">O56*1.2</f>
        <v>723</v>
      </c>
      <c r="Y56" s="86" t="n">
        <f aca="false">AND((G56)&gt;=MIN(W56),(G56)&lt;=MAX(X56))</f>
        <v>0</v>
      </c>
      <c r="Z56" s="86" t="n">
        <f aca="false">AND((J56)&gt;=MIN(W56),(J56)&lt;=MAX(X56))</f>
        <v>0</v>
      </c>
      <c r="AA56" s="86" t="n">
        <f aca="false">AND((M56)&gt;=MIN(W56),(M56)&lt;=MAX(X56))</f>
        <v>1</v>
      </c>
      <c r="AB56" s="95" t="s">
        <v>877</v>
      </c>
      <c r="AC56" s="88" t="n">
        <f aca="false">569/1.2</f>
        <v>474.17</v>
      </c>
      <c r="AD56" s="88" t="n">
        <f aca="false">AC56*D56</f>
        <v>33191.9</v>
      </c>
      <c r="AE56" s="95" t="s">
        <v>878</v>
      </c>
      <c r="AF56" s="88" t="n">
        <f aca="false">13087/20/1.2</f>
        <v>545.29</v>
      </c>
      <c r="AG56" s="89" t="n">
        <f aca="false">AF56*D56</f>
        <v>38170.3</v>
      </c>
      <c r="AH56" s="95" t="s">
        <v>884</v>
      </c>
      <c r="AI56" s="88" t="n">
        <f aca="false">11380/1.2/20</f>
        <v>474.17</v>
      </c>
      <c r="AJ56" s="89" t="n">
        <f aca="false">AI56*D56</f>
        <v>33191.9</v>
      </c>
      <c r="AK56" s="91" t="n">
        <f aca="false">AVERAGE(AC56,AF56,AI56)</f>
        <v>497.88</v>
      </c>
      <c r="AL56" s="91" t="n">
        <f aca="false">((E56-AK56)/AK56)*100</f>
        <v>0</v>
      </c>
      <c r="AM56" s="92" t="n">
        <f aca="false">AK56/1.2</f>
        <v>414.9</v>
      </c>
      <c r="AN56" s="92" t="n">
        <f aca="false">AK56*1.2</f>
        <v>597.46</v>
      </c>
      <c r="AO56" s="86" t="n">
        <f aca="false">AND((AC56)&gt;=MIN(AM56),(AC56)&lt;=MAX(AN56))</f>
        <v>1</v>
      </c>
      <c r="AP56" s="86" t="n">
        <f aca="false">AND((AF56)&gt;=MIN(AM56),(AF56)&lt;=MAX(AN56))</f>
        <v>1</v>
      </c>
      <c r="AQ56" s="86" t="n">
        <f aca="false">AND((AI56)&gt;=MIN(AM56),(AI56)&lt;=MAX(AN56))</f>
        <v>1</v>
      </c>
    </row>
    <row r="57" s="38" customFormat="true" ht="48" hidden="false" customHeight="true" outlineLevel="0" collapsed="false">
      <c r="A57" s="28" t="n">
        <v>47</v>
      </c>
      <c r="B57" s="57" t="s">
        <v>1026</v>
      </c>
      <c r="C57" s="125" t="s">
        <v>1027</v>
      </c>
      <c r="D57" s="125" t="n">
        <v>56.9</v>
      </c>
      <c r="E57" s="126" t="n">
        <f aca="false">O57</f>
        <v>370.28</v>
      </c>
      <c r="F57" s="106" t="s">
        <v>1028</v>
      </c>
      <c r="G57" s="34" t="n">
        <f aca="false">496/1.2</f>
        <v>413.33</v>
      </c>
      <c r="H57" s="34" t="n">
        <f aca="false">D57*G57</f>
        <v>23518.48</v>
      </c>
      <c r="I57" s="106" t="s">
        <v>1029</v>
      </c>
      <c r="J57" s="34" t="n">
        <f aca="false">430/1.2</f>
        <v>358.33</v>
      </c>
      <c r="K57" s="34" t="n">
        <f aca="false">D57*J57</f>
        <v>20388.98</v>
      </c>
      <c r="L57" s="106" t="s">
        <v>1030</v>
      </c>
      <c r="M57" s="34" t="n">
        <f aca="false">407/1.2</f>
        <v>339.17</v>
      </c>
      <c r="N57" s="34" t="n">
        <f aca="false">D57*M57</f>
        <v>19298.77</v>
      </c>
      <c r="O57" s="127" t="n">
        <f aca="false">AVERAGE(G57,J57,M57)</f>
        <v>370.28</v>
      </c>
      <c r="P57" s="36" t="n">
        <f aca="false">E57*100/O57-100</f>
        <v>0</v>
      </c>
      <c r="Q57" s="127" t="n">
        <f aca="false">D57*E57</f>
        <v>21068.93</v>
      </c>
      <c r="R57" s="37"/>
      <c r="T57" s="39" t="n">
        <f aca="false">ROUND(G57*100/O57-100,0)</f>
        <v>12</v>
      </c>
      <c r="U57" s="39" t="n">
        <f aca="false">ROUND(J57*100/O57-100,0)</f>
        <v>-3</v>
      </c>
      <c r="V57" s="39" t="n">
        <f aca="false">ROUND(M57*100/O57-100,0)</f>
        <v>-8</v>
      </c>
      <c r="W57" s="85" t="n">
        <f aca="false">O57/1.2</f>
        <v>308.57</v>
      </c>
      <c r="X57" s="85" t="n">
        <f aca="false">O57*1.2</f>
        <v>444.34</v>
      </c>
      <c r="Y57" s="86" t="n">
        <f aca="false">AND((G57)&gt;=MIN(W57),(G57)&lt;=MAX(X57))</f>
        <v>1</v>
      </c>
      <c r="Z57" s="86" t="n">
        <f aca="false">AND((J57)&gt;=MIN(W57),(J57)&lt;=MAX(X57))</f>
        <v>1</v>
      </c>
      <c r="AA57" s="86" t="n">
        <f aca="false">AND((M57)&gt;=MIN(W57),(M57)&lt;=MAX(X57))</f>
        <v>1</v>
      </c>
      <c r="AB57" s="95" t="s">
        <v>1031</v>
      </c>
      <c r="AC57" s="88" t="n">
        <f aca="false">570/1.2</f>
        <v>475</v>
      </c>
      <c r="AD57" s="88" t="n">
        <f aca="false">AC57*D57</f>
        <v>27027.5</v>
      </c>
      <c r="AE57" s="95" t="s">
        <v>1028</v>
      </c>
      <c r="AF57" s="88" t="n">
        <f aca="false">496/1.2</f>
        <v>413.33</v>
      </c>
      <c r="AG57" s="89" t="n">
        <f aca="false">AF57*D57</f>
        <v>23518.48</v>
      </c>
      <c r="AH57" s="94" t="s">
        <v>1032</v>
      </c>
      <c r="AI57" s="88" t="n">
        <f aca="false">430/1.2</f>
        <v>358.33</v>
      </c>
      <c r="AJ57" s="89" t="n">
        <f aca="false">AI57*D57</f>
        <v>20388.98</v>
      </c>
      <c r="AK57" s="91" t="n">
        <f aca="false">AVERAGE(AC57,AF57,AI57)</f>
        <v>415.55</v>
      </c>
      <c r="AL57" s="91" t="n">
        <f aca="false">((E57-AK57)/AK57)*100</f>
        <v>-10.89</v>
      </c>
      <c r="AM57" s="92" t="n">
        <f aca="false">AK57/1.2</f>
        <v>346.29</v>
      </c>
      <c r="AN57" s="92" t="n">
        <f aca="false">AK57*1.2</f>
        <v>498.66</v>
      </c>
      <c r="AO57" s="86" t="n">
        <f aca="false">AND((AC57)&gt;=MIN(AM57),(AC57)&lt;=MAX(AN57))</f>
        <v>1</v>
      </c>
      <c r="AP57" s="86" t="n">
        <f aca="false">AND((AF57)&gt;=MIN(AM57),(AF57)&lt;=MAX(AN57))</f>
        <v>1</v>
      </c>
      <c r="AQ57" s="86" t="n">
        <f aca="false">AND((AI57)&gt;=MIN(AM57),(AI57)&lt;=MAX(AN57))</f>
        <v>1</v>
      </c>
    </row>
    <row r="58" s="38" customFormat="true" ht="39" hidden="false" customHeight="true" outlineLevel="0" collapsed="false">
      <c r="A58" s="143" t="n">
        <v>48</v>
      </c>
      <c r="B58" s="144" t="s">
        <v>1033</v>
      </c>
      <c r="C58" s="145" t="s">
        <v>27</v>
      </c>
      <c r="D58" s="145" t="n">
        <v>643.2</v>
      </c>
      <c r="E58" s="126" t="n">
        <f aca="false">AK58</f>
        <v>497.88</v>
      </c>
      <c r="F58" s="106" t="s">
        <v>1020</v>
      </c>
      <c r="G58" s="34" t="n">
        <f aca="false">599/1.2</f>
        <v>499.17</v>
      </c>
      <c r="H58" s="34" t="n">
        <f aca="false">D58*G58</f>
        <v>321066.14</v>
      </c>
      <c r="I58" s="106" t="s">
        <v>407</v>
      </c>
      <c r="J58" s="34" t="n">
        <f aca="false">16580/17/1.2</f>
        <v>812.75</v>
      </c>
      <c r="K58" s="34" t="n">
        <f aca="false">D58*J58</f>
        <v>522760.8</v>
      </c>
      <c r="L58" s="139" t="s">
        <v>1034</v>
      </c>
      <c r="M58" s="34" t="n">
        <f aca="false">17400/20/1.2</f>
        <v>725</v>
      </c>
      <c r="N58" s="34" t="n">
        <f aca="false">D58*M58</f>
        <v>466320</v>
      </c>
      <c r="O58" s="127" t="n">
        <f aca="false">AVERAGE(G58,J58,M58)</f>
        <v>678.97</v>
      </c>
      <c r="P58" s="36" t="n">
        <f aca="false">E58*100/O58-100</f>
        <v>-26.671281499919</v>
      </c>
      <c r="Q58" s="127" t="n">
        <f aca="false">D58*E58</f>
        <v>320236.42</v>
      </c>
      <c r="R58" s="37"/>
      <c r="T58" s="39" t="n">
        <f aca="false">ROUND(G58*100/O58-100,0)</f>
        <v>-26</v>
      </c>
      <c r="U58" s="39" t="n">
        <f aca="false">ROUND(J58*100/O58-100,0)</f>
        <v>20</v>
      </c>
      <c r="V58" s="39" t="n">
        <f aca="false">ROUND(M58*100/O58-100,0)</f>
        <v>7</v>
      </c>
      <c r="W58" s="85" t="n">
        <f aca="false">O58/1.2</f>
        <v>565.81</v>
      </c>
      <c r="X58" s="85" t="n">
        <f aca="false">O58*1.2</f>
        <v>814.76</v>
      </c>
      <c r="Y58" s="86" t="n">
        <f aca="false">AND((G58)&gt;=MIN(W58),(G58)&lt;=MAX(X58))</f>
        <v>0</v>
      </c>
      <c r="Z58" s="86" t="n">
        <f aca="false">AND((J58)&gt;=MIN(W58),(J58)&lt;=MAX(X58))</f>
        <v>1</v>
      </c>
      <c r="AA58" s="86" t="n">
        <f aca="false">AND((M58)&gt;=MIN(W58),(M58)&lt;=MAX(X58))</f>
        <v>1</v>
      </c>
      <c r="AB58" s="95" t="s">
        <v>877</v>
      </c>
      <c r="AC58" s="88" t="n">
        <f aca="false">569/1.2</f>
        <v>474.17</v>
      </c>
      <c r="AD58" s="88" t="n">
        <f aca="false">AC58*D58</f>
        <v>304986.14</v>
      </c>
      <c r="AE58" s="95" t="s">
        <v>878</v>
      </c>
      <c r="AF58" s="88" t="n">
        <f aca="false">13087/20/1.2</f>
        <v>545.29</v>
      </c>
      <c r="AG58" s="89" t="n">
        <f aca="false">AF58*D58</f>
        <v>350730.53</v>
      </c>
      <c r="AH58" s="95" t="s">
        <v>890</v>
      </c>
      <c r="AI58" s="88" t="n">
        <f aca="false">11380/20/1.2</f>
        <v>474.17</v>
      </c>
      <c r="AJ58" s="89" t="n">
        <f aca="false">AI58*D58</f>
        <v>304986.14</v>
      </c>
      <c r="AK58" s="91" t="n">
        <f aca="false">AVERAGE(AC58,AF58,AI58)</f>
        <v>497.88</v>
      </c>
      <c r="AL58" s="91" t="n">
        <f aca="false">((E58-AK58)/AK58)*100</f>
        <v>0</v>
      </c>
      <c r="AM58" s="92" t="n">
        <f aca="false">AK58/1.2</f>
        <v>414.9</v>
      </c>
      <c r="AN58" s="92" t="n">
        <f aca="false">AK58*1.2</f>
        <v>597.46</v>
      </c>
      <c r="AO58" s="86" t="n">
        <f aca="false">AND((AC58)&gt;=MIN(AM58),(AC58)&lt;=MAX(AN58))</f>
        <v>1</v>
      </c>
      <c r="AP58" s="86" t="n">
        <f aca="false">AND((AF58)&gt;=MIN(AM58),(AF58)&lt;=MAX(AN58))</f>
        <v>1</v>
      </c>
      <c r="AQ58" s="86" t="n">
        <f aca="false">AND((AI58)&gt;=MIN(AM58),(AI58)&lt;=MAX(AN58))</f>
        <v>1</v>
      </c>
    </row>
    <row r="59" s="38" customFormat="true" ht="42" hidden="false" customHeight="true" outlineLevel="0" collapsed="false">
      <c r="A59" s="28" t="n">
        <v>49</v>
      </c>
      <c r="B59" s="57" t="s">
        <v>438</v>
      </c>
      <c r="C59" s="125" t="s">
        <v>143</v>
      </c>
      <c r="D59" s="125" t="n">
        <v>24</v>
      </c>
      <c r="E59" s="126" t="n">
        <f aca="false">O59</f>
        <v>275.76</v>
      </c>
      <c r="F59" s="142" t="s">
        <v>439</v>
      </c>
      <c r="G59" s="34" t="n">
        <f aca="false">326/1.2</f>
        <v>271.67</v>
      </c>
      <c r="H59" s="34" t="n">
        <f aca="false">D59*G59</f>
        <v>6520.08</v>
      </c>
      <c r="I59" s="42" t="s">
        <v>440</v>
      </c>
      <c r="J59" s="34" t="n">
        <f aca="false">351/1.2</f>
        <v>292.5</v>
      </c>
      <c r="K59" s="34" t="n">
        <f aca="false">D59*J59</f>
        <v>7020</v>
      </c>
      <c r="L59" s="42" t="s">
        <v>441</v>
      </c>
      <c r="M59" s="34" t="n">
        <f aca="false">315.74/1.2</f>
        <v>263.12</v>
      </c>
      <c r="N59" s="34" t="n">
        <f aca="false">D59*M59</f>
        <v>6314.88</v>
      </c>
      <c r="O59" s="127" t="n">
        <f aca="false">AVERAGE(G59,J59,M59)</f>
        <v>275.76</v>
      </c>
      <c r="P59" s="36" t="n">
        <f aca="false">E59*100/O59-100</f>
        <v>0</v>
      </c>
      <c r="Q59" s="127" t="n">
        <f aca="false">D59*E59</f>
        <v>6618.24</v>
      </c>
      <c r="R59" s="37"/>
      <c r="T59" s="39" t="n">
        <f aca="false">ROUND(G59*100/O59-100,0)</f>
        <v>-1</v>
      </c>
      <c r="U59" s="39" t="n">
        <f aca="false">ROUND(J59*100/O59-100,0)</f>
        <v>6</v>
      </c>
      <c r="V59" s="39" t="n">
        <f aca="false">ROUND(M59*100/O59-100,0)</f>
        <v>-5</v>
      </c>
      <c r="W59" s="85" t="n">
        <f aca="false">O59/1.2</f>
        <v>229.8</v>
      </c>
      <c r="X59" s="85" t="n">
        <f aca="false">O59*1.2</f>
        <v>330.91</v>
      </c>
      <c r="Y59" s="86" t="n">
        <f aca="false">AND((G59)&gt;=MIN(W59),(G59)&lt;=MAX(X59))</f>
        <v>1</v>
      </c>
      <c r="Z59" s="86" t="n">
        <f aca="false">AND((J59)&gt;=MIN(W59),(J59)&lt;=MAX(X59))</f>
        <v>1</v>
      </c>
      <c r="AA59" s="86" t="n">
        <f aca="false">AND((M59)&gt;=MIN(W59),(M59)&lt;=MAX(X59))</f>
        <v>1</v>
      </c>
      <c r="AB59" s="95" t="s">
        <v>891</v>
      </c>
      <c r="AC59" s="88" t="n">
        <f aca="false">338/1.2</f>
        <v>281.67</v>
      </c>
      <c r="AD59" s="88" t="n">
        <f aca="false">AC59*D59</f>
        <v>6760.08</v>
      </c>
      <c r="AE59" s="95" t="s">
        <v>892</v>
      </c>
      <c r="AF59" s="88" t="n">
        <f aca="false">349/1.2</f>
        <v>290.83</v>
      </c>
      <c r="AG59" s="89" t="n">
        <f aca="false">AF59*D59</f>
        <v>6979.92</v>
      </c>
      <c r="AH59" s="95" t="s">
        <v>893</v>
      </c>
      <c r="AI59" s="88" t="n">
        <f aca="false">953/3</f>
        <v>317.67</v>
      </c>
      <c r="AJ59" s="89" t="n">
        <f aca="false">AI59*D59</f>
        <v>7624.08</v>
      </c>
      <c r="AK59" s="91" t="n">
        <f aca="false">AVERAGE(AC59,AF59,AI59)</f>
        <v>296.72</v>
      </c>
      <c r="AL59" s="91" t="n">
        <f aca="false">((E59-AK59)/AK59)*100</f>
        <v>-7.06</v>
      </c>
      <c r="AM59" s="92" t="n">
        <f aca="false">AK59/1.2</f>
        <v>247.27</v>
      </c>
      <c r="AN59" s="92" t="n">
        <f aca="false">AK59*1.2</f>
        <v>356.06</v>
      </c>
      <c r="AO59" s="86" t="n">
        <f aca="false">AND((AC59)&gt;=MIN(AM59),(AC59)&lt;=MAX(AN59))</f>
        <v>1</v>
      </c>
      <c r="AP59" s="86" t="n">
        <f aca="false">AND((AF59)&gt;=MIN(AM59),(AF59)&lt;=MAX(AN59))</f>
        <v>1</v>
      </c>
      <c r="AQ59" s="86" t="n">
        <f aca="false">AND((AI59)&gt;=MIN(AM59),(AI59)&lt;=MAX(AN59))</f>
        <v>1</v>
      </c>
    </row>
    <row r="60" s="38" customFormat="true" ht="56.25" hidden="false" customHeight="true" outlineLevel="0" collapsed="false">
      <c r="A60" s="28" t="n">
        <v>50</v>
      </c>
      <c r="B60" s="57" t="s">
        <v>470</v>
      </c>
      <c r="C60" s="125" t="s">
        <v>143</v>
      </c>
      <c r="D60" s="125" t="n">
        <v>80</v>
      </c>
      <c r="E60" s="126" t="n">
        <f aca="false">O60</f>
        <v>556.89</v>
      </c>
      <c r="F60" s="106" t="s">
        <v>471</v>
      </c>
      <c r="G60" s="34" t="n">
        <f aca="false">670/1.2</f>
        <v>558.33</v>
      </c>
      <c r="H60" s="34" t="n">
        <f aca="false">D60*G60</f>
        <v>44666.4</v>
      </c>
      <c r="I60" s="33" t="s">
        <v>472</v>
      </c>
      <c r="J60" s="34" t="n">
        <f aca="false">667.8/1.2</f>
        <v>556.5</v>
      </c>
      <c r="K60" s="34" t="n">
        <f aca="false">D60*J60</f>
        <v>44520</v>
      </c>
      <c r="L60" s="33" t="s">
        <v>473</v>
      </c>
      <c r="M60" s="34" t="n">
        <f aca="false">667/1.2</f>
        <v>555.83</v>
      </c>
      <c r="N60" s="34" t="n">
        <f aca="false">D60*M60</f>
        <v>44466.4</v>
      </c>
      <c r="O60" s="127" t="n">
        <f aca="false">AVERAGE(G60,J60,M60)</f>
        <v>556.89</v>
      </c>
      <c r="P60" s="36" t="n">
        <f aca="false">E60*100/O60-100</f>
        <v>0</v>
      </c>
      <c r="Q60" s="127" t="n">
        <f aca="false">D60*E60</f>
        <v>44551.2</v>
      </c>
      <c r="R60" s="37"/>
      <c r="T60" s="39" t="n">
        <f aca="false">ROUND(G60*100/O60-100,0)</f>
        <v>0</v>
      </c>
      <c r="U60" s="39" t="n">
        <f aca="false">ROUND(J60*100/O60-100,0)</f>
        <v>-0</v>
      </c>
      <c r="V60" s="39" t="n">
        <f aca="false">ROUND(M60*100/O60-100,0)</f>
        <v>-0</v>
      </c>
      <c r="W60" s="85" t="n">
        <f aca="false">O60/1.2</f>
        <v>464.08</v>
      </c>
      <c r="X60" s="85" t="n">
        <f aca="false">O60*1.2</f>
        <v>668.27</v>
      </c>
      <c r="Y60" s="86" t="n">
        <f aca="false">AND((G60)&gt;=MIN(W60),(G60)&lt;=MAX(X60))</f>
        <v>1</v>
      </c>
      <c r="Z60" s="86" t="n">
        <f aca="false">AND((J60)&gt;=MIN(W60),(J60)&lt;=MAX(X60))</f>
        <v>1</v>
      </c>
      <c r="AA60" s="86" t="n">
        <f aca="false">AND((M60)&gt;=MIN(W60),(M60)&lt;=MAX(X60))</f>
        <v>1</v>
      </c>
      <c r="AB60" s="95" t="s">
        <v>894</v>
      </c>
      <c r="AC60" s="88" t="n">
        <f aca="false">667/1.2</f>
        <v>555.83</v>
      </c>
      <c r="AD60" s="88" t="n">
        <f aca="false">AC60*D60</f>
        <v>44466.4</v>
      </c>
      <c r="AE60" s="95" t="s">
        <v>895</v>
      </c>
      <c r="AF60" s="88" t="n">
        <f aca="false">791/1.2</f>
        <v>659.17</v>
      </c>
      <c r="AG60" s="89" t="n">
        <f aca="false">AF60*D60</f>
        <v>52733.6</v>
      </c>
      <c r="AH60" s="95" t="s">
        <v>896</v>
      </c>
      <c r="AI60" s="88" t="n">
        <f aca="false">700/1.2</f>
        <v>583.33</v>
      </c>
      <c r="AJ60" s="89" t="n">
        <f aca="false">AI60*D60</f>
        <v>46666.4</v>
      </c>
      <c r="AK60" s="91" t="n">
        <f aca="false">AVERAGE(AC60,AF60,AI60)</f>
        <v>599.44</v>
      </c>
      <c r="AL60" s="91" t="n">
        <f aca="false">((E60-AK60)/AK60)*100</f>
        <v>-7.1</v>
      </c>
      <c r="AM60" s="92" t="n">
        <f aca="false">AK60/1.2</f>
        <v>499.53</v>
      </c>
      <c r="AN60" s="92" t="n">
        <f aca="false">AK60*1.2</f>
        <v>719.33</v>
      </c>
      <c r="AO60" s="86" t="n">
        <f aca="false">AND((AC60)&gt;=MIN(AM60),(AC60)&lt;=MAX(AN60))</f>
        <v>1</v>
      </c>
      <c r="AP60" s="86" t="n">
        <f aca="false">AND((AF60)&gt;=MIN(AM60),(AF60)&lt;=MAX(AN60))</f>
        <v>1</v>
      </c>
      <c r="AQ60" s="86" t="n">
        <f aca="false">AND((AI60)&gt;=MIN(AM60),(AI60)&lt;=MAX(AN60))</f>
        <v>1</v>
      </c>
    </row>
    <row r="61" s="38" customFormat="true" ht="49.5" hidden="false" customHeight="true" outlineLevel="0" collapsed="false">
      <c r="A61" s="28" t="n">
        <v>51</v>
      </c>
      <c r="B61" s="57" t="s">
        <v>495</v>
      </c>
      <c r="C61" s="125" t="s">
        <v>143</v>
      </c>
      <c r="D61" s="125" t="n">
        <v>96</v>
      </c>
      <c r="E61" s="126" t="n">
        <f aca="false">O61</f>
        <v>310.28</v>
      </c>
      <c r="F61" s="142" t="s">
        <v>496</v>
      </c>
      <c r="G61" s="34" t="n">
        <f aca="false">369/1.2</f>
        <v>307.5</v>
      </c>
      <c r="H61" s="34" t="n">
        <f aca="false">D61*G61</f>
        <v>29520</v>
      </c>
      <c r="I61" s="42" t="s">
        <v>497</v>
      </c>
      <c r="J61" s="34" t="n">
        <f aca="false">379/1.2</f>
        <v>315.83</v>
      </c>
      <c r="K61" s="34" t="n">
        <f aca="false">D61*J61</f>
        <v>30319.68</v>
      </c>
      <c r="L61" s="42" t="s">
        <v>498</v>
      </c>
      <c r="M61" s="34" t="n">
        <f aca="false">369/1.2</f>
        <v>307.5</v>
      </c>
      <c r="N61" s="34" t="n">
        <f aca="false">D61*M61</f>
        <v>29520</v>
      </c>
      <c r="O61" s="127" t="n">
        <f aca="false">AVERAGE(G61,J61,M61)</f>
        <v>310.28</v>
      </c>
      <c r="P61" s="36" t="n">
        <f aca="false">E61*100/O61-100</f>
        <v>0</v>
      </c>
      <c r="Q61" s="127" t="n">
        <f aca="false">D61*E61</f>
        <v>29786.88</v>
      </c>
      <c r="R61" s="37"/>
      <c r="T61" s="39" t="n">
        <f aca="false">ROUND(G61*100/O61-100,0)</f>
        <v>-1</v>
      </c>
      <c r="U61" s="39" t="n">
        <f aca="false">ROUND(J61*100/O61-100,0)</f>
        <v>2</v>
      </c>
      <c r="V61" s="39" t="n">
        <f aca="false">ROUND(M61*100/O61-100,0)</f>
        <v>-1</v>
      </c>
      <c r="W61" s="85" t="n">
        <f aca="false">O61/1.2</f>
        <v>258.57</v>
      </c>
      <c r="X61" s="85" t="n">
        <f aca="false">O61*1.2</f>
        <v>372.34</v>
      </c>
      <c r="Y61" s="86" t="n">
        <f aca="false">AND((G61)&gt;=MIN(W61),(G61)&lt;=MAX(X61))</f>
        <v>1</v>
      </c>
      <c r="Z61" s="86" t="n">
        <f aca="false">AND((J61)&gt;=MIN(W61),(J61)&lt;=MAX(X61))</f>
        <v>1</v>
      </c>
      <c r="AA61" s="86" t="n">
        <f aca="false">AND((M61)&gt;=MIN(W61),(M61)&lt;=MAX(X61))</f>
        <v>1</v>
      </c>
      <c r="AB61" s="95" t="s">
        <v>897</v>
      </c>
      <c r="AC61" s="88" t="n">
        <f aca="false">400/1.2</f>
        <v>333.33</v>
      </c>
      <c r="AD61" s="88" t="n">
        <f aca="false">AC61*D61</f>
        <v>31999.68</v>
      </c>
      <c r="AE61" s="95" t="s">
        <v>898</v>
      </c>
      <c r="AF61" s="88" t="n">
        <f aca="false">364.2/1.2</f>
        <v>303.5</v>
      </c>
      <c r="AG61" s="89" t="n">
        <f aca="false">AF61*D61</f>
        <v>29136</v>
      </c>
      <c r="AH61" s="95" t="s">
        <v>899</v>
      </c>
      <c r="AI61" s="88" t="n">
        <f aca="false">379/1.2</f>
        <v>315.83</v>
      </c>
      <c r="AJ61" s="89" t="n">
        <f aca="false">AI61*D61</f>
        <v>30319.68</v>
      </c>
      <c r="AK61" s="91" t="n">
        <f aca="false">AVERAGE(AC61,AF61,AI61)</f>
        <v>317.55</v>
      </c>
      <c r="AL61" s="91" t="n">
        <f aca="false">((E61-AK61)/AK61)*100</f>
        <v>-2.29</v>
      </c>
      <c r="AM61" s="92" t="n">
        <f aca="false">AK61/1.2</f>
        <v>264.63</v>
      </c>
      <c r="AN61" s="92" t="n">
        <f aca="false">AK61*1.2</f>
        <v>381.06</v>
      </c>
      <c r="AO61" s="86" t="n">
        <f aca="false">AND((AC61)&gt;=MIN(AM61),(AC61)&lt;=MAX(AN61))</f>
        <v>1</v>
      </c>
      <c r="AP61" s="86" t="n">
        <f aca="false">AND((AF61)&gt;=MIN(AM61),(AF61)&lt;=MAX(AN61))</f>
        <v>1</v>
      </c>
      <c r="AQ61" s="86" t="n">
        <f aca="false">AND((AI61)&gt;=MIN(AM61),(AI61)&lt;=MAX(AN61))</f>
        <v>1</v>
      </c>
    </row>
    <row r="62" s="38" customFormat="true" ht="41.25" hidden="false" customHeight="true" outlineLevel="0" collapsed="false">
      <c r="A62" s="28" t="n">
        <v>52</v>
      </c>
      <c r="B62" s="57" t="s">
        <v>1035</v>
      </c>
      <c r="C62" s="125" t="s">
        <v>27</v>
      </c>
      <c r="D62" s="125" t="n">
        <v>183.5</v>
      </c>
      <c r="E62" s="126" t="n">
        <f aca="false">O62</f>
        <v>69.39</v>
      </c>
      <c r="F62" s="142" t="s">
        <v>509</v>
      </c>
      <c r="G62" s="34" t="n">
        <f aca="false">88.8/1.2</f>
        <v>74</v>
      </c>
      <c r="H62" s="34" t="n">
        <f aca="false">D62*G62</f>
        <v>13579</v>
      </c>
      <c r="I62" s="42" t="s">
        <v>510</v>
      </c>
      <c r="J62" s="34" t="n">
        <f aca="false">2000/25/1.2</f>
        <v>66.67</v>
      </c>
      <c r="K62" s="34" t="n">
        <f aca="false">D62*J62</f>
        <v>12233.95</v>
      </c>
      <c r="L62" s="42" t="s">
        <v>511</v>
      </c>
      <c r="M62" s="34" t="n">
        <f aca="false">81/1.2</f>
        <v>67.5</v>
      </c>
      <c r="N62" s="34" t="n">
        <f aca="false">D62*M62</f>
        <v>12386.25</v>
      </c>
      <c r="O62" s="127" t="n">
        <f aca="false">AVERAGE(G62,J62,M62)</f>
        <v>69.39</v>
      </c>
      <c r="P62" s="36" t="n">
        <f aca="false">E62*100/O62-100</f>
        <v>0</v>
      </c>
      <c r="Q62" s="127" t="n">
        <f aca="false">D62*E62</f>
        <v>12733.07</v>
      </c>
      <c r="R62" s="37"/>
      <c r="T62" s="39" t="n">
        <f aca="false">ROUND(G62*100/O62-100,0)</f>
        <v>7</v>
      </c>
      <c r="U62" s="39" t="n">
        <f aca="false">ROUND(J62*100/O62-100,0)</f>
        <v>-4</v>
      </c>
      <c r="V62" s="39" t="n">
        <f aca="false">ROUND(M62*100/O62-100,0)</f>
        <v>-3</v>
      </c>
      <c r="W62" s="85" t="n">
        <f aca="false">O62/1.2</f>
        <v>57.83</v>
      </c>
      <c r="X62" s="85" t="n">
        <f aca="false">O62*1.2</f>
        <v>83.27</v>
      </c>
      <c r="Y62" s="86" t="n">
        <f aca="false">AND((G62)&gt;=MIN(W62),(G62)&lt;=MAX(X62))</f>
        <v>1</v>
      </c>
      <c r="Z62" s="86" t="n">
        <f aca="false">AND((J62)&gt;=MIN(W62),(J62)&lt;=MAX(X62))</f>
        <v>1</v>
      </c>
      <c r="AA62" s="86" t="n">
        <f aca="false">AND((M62)&gt;=MIN(W62),(M62)&lt;=MAX(X62))</f>
        <v>1</v>
      </c>
      <c r="AB62" s="95" t="s">
        <v>1036</v>
      </c>
      <c r="AC62" s="88" t="n">
        <f aca="false">3445/40/1.2</f>
        <v>71.77</v>
      </c>
      <c r="AD62" s="88" t="n">
        <f aca="false">AC62*D62</f>
        <v>13169.8</v>
      </c>
      <c r="AE62" s="95" t="s">
        <v>1037</v>
      </c>
      <c r="AF62" s="88" t="n">
        <f aca="false">3948/40/1.2</f>
        <v>82.25</v>
      </c>
      <c r="AG62" s="89" t="n">
        <f aca="false">AF62*D62</f>
        <v>15092.88</v>
      </c>
      <c r="AH62" s="95" t="s">
        <v>1038</v>
      </c>
      <c r="AI62" s="88" t="n">
        <f aca="false">117/1.2</f>
        <v>97.5</v>
      </c>
      <c r="AJ62" s="89" t="n">
        <f aca="false">AI62*D62</f>
        <v>17891.25</v>
      </c>
      <c r="AK62" s="91" t="n">
        <f aca="false">AVERAGE(AC62,AF62,AI62)</f>
        <v>83.84</v>
      </c>
      <c r="AL62" s="91" t="n">
        <f aca="false">((E62-AK62)/AK62)*100</f>
        <v>-17.24</v>
      </c>
      <c r="AM62" s="92" t="n">
        <f aca="false">AK62/1.2</f>
        <v>69.87</v>
      </c>
      <c r="AN62" s="92" t="n">
        <f aca="false">AK62*1.2</f>
        <v>100.61</v>
      </c>
      <c r="AO62" s="86" t="n">
        <f aca="false">AND((AC62)&gt;=MIN(AM62),(AC62)&lt;=MAX(AN62))</f>
        <v>1</v>
      </c>
      <c r="AP62" s="86" t="n">
        <f aca="false">AND((AF62)&gt;=MIN(AM62),(AF62)&lt;=MAX(AN62))</f>
        <v>1</v>
      </c>
      <c r="AQ62" s="86" t="n">
        <f aca="false">AND((AI62)&gt;=MIN(AM62),(AI62)&lt;=MAX(AN62))</f>
        <v>1</v>
      </c>
    </row>
    <row r="63" s="38" customFormat="true" ht="40.5" hidden="false" customHeight="true" outlineLevel="0" collapsed="false">
      <c r="A63" s="28" t="n">
        <v>53</v>
      </c>
      <c r="B63" s="57" t="s">
        <v>630</v>
      </c>
      <c r="C63" s="125" t="s">
        <v>27</v>
      </c>
      <c r="D63" s="125" t="n">
        <v>9.996</v>
      </c>
      <c r="E63" s="126" t="n">
        <f aca="false">O63</f>
        <v>792.15</v>
      </c>
      <c r="F63" s="142" t="s">
        <v>631</v>
      </c>
      <c r="G63" s="34" t="n">
        <f aca="false">387/400*1000/1.2</f>
        <v>806.25</v>
      </c>
      <c r="H63" s="34" t="n">
        <f aca="false">D63*G63</f>
        <v>8059.28</v>
      </c>
      <c r="I63" s="42" t="s">
        <v>632</v>
      </c>
      <c r="J63" s="34" t="n">
        <f aca="false">377.7/400*1000/1.2</f>
        <v>786.88</v>
      </c>
      <c r="K63" s="34" t="n">
        <f aca="false">D63*J63</f>
        <v>7865.65</v>
      </c>
      <c r="L63" s="42" t="s">
        <v>633</v>
      </c>
      <c r="M63" s="34" t="n">
        <f aca="false">376/400*1000/1.2</f>
        <v>783.33</v>
      </c>
      <c r="N63" s="34" t="n">
        <f aca="false">D63*M63</f>
        <v>7830.17</v>
      </c>
      <c r="O63" s="127" t="n">
        <f aca="false">AVERAGE(G63,J63,M63)</f>
        <v>792.15</v>
      </c>
      <c r="P63" s="36" t="n">
        <f aca="false">E63*100/O63-100</f>
        <v>0</v>
      </c>
      <c r="Q63" s="127" t="n">
        <f aca="false">D63*E63</f>
        <v>7918.33</v>
      </c>
      <c r="R63" s="37"/>
      <c r="T63" s="39" t="n">
        <f aca="false">ROUND(G63*100/O63-100,0)</f>
        <v>2</v>
      </c>
      <c r="U63" s="39" t="n">
        <f aca="false">ROUND(J63*100/O63-100,0)</f>
        <v>-1</v>
      </c>
      <c r="V63" s="39" t="n">
        <f aca="false">ROUND(M63*100/O63-100,0)</f>
        <v>-1</v>
      </c>
      <c r="W63" s="85" t="n">
        <f aca="false">O63/1.2</f>
        <v>660.13</v>
      </c>
      <c r="X63" s="85" t="n">
        <f aca="false">O63*1.2</f>
        <v>950.58</v>
      </c>
      <c r="Y63" s="86" t="n">
        <f aca="false">AND((G63)&gt;=MIN(W63),(G63)&lt;=MAX(X63))</f>
        <v>1</v>
      </c>
      <c r="Z63" s="86" t="n">
        <f aca="false">AND((J63)&gt;=MIN(W63),(J63)&lt;=MAX(X63))</f>
        <v>1</v>
      </c>
      <c r="AA63" s="86" t="n">
        <f aca="false">AND((M63)&gt;=MIN(W63),(M63)&lt;=MAX(X63))</f>
        <v>1</v>
      </c>
      <c r="AB63" s="95" t="s">
        <v>903</v>
      </c>
      <c r="AC63" s="88" t="n">
        <f aca="false">415/400*1000/1.2</f>
        <v>864.58</v>
      </c>
      <c r="AD63" s="88" t="n">
        <f aca="false">AC63*D63</f>
        <v>8642.34</v>
      </c>
      <c r="AE63" s="95" t="s">
        <v>904</v>
      </c>
      <c r="AF63" s="88" t="n">
        <f aca="false">454/400*1000/1.2</f>
        <v>945.83</v>
      </c>
      <c r="AG63" s="89" t="n">
        <f aca="false">AF63*D63</f>
        <v>9454.52</v>
      </c>
      <c r="AH63" s="95" t="s">
        <v>905</v>
      </c>
      <c r="AI63" s="88" t="n">
        <f aca="false">394/400*1000/1.2</f>
        <v>820.83</v>
      </c>
      <c r="AJ63" s="89" t="n">
        <f aca="false">AI63*D63</f>
        <v>8205.02</v>
      </c>
      <c r="AK63" s="91" t="n">
        <f aca="false">AVERAGE(AC63,AF63,AI63)</f>
        <v>877.08</v>
      </c>
      <c r="AL63" s="91" t="n">
        <f aca="false">((E63-AK63)/AK63)*100</f>
        <v>-9.68</v>
      </c>
      <c r="AM63" s="92" t="n">
        <f aca="false">AK63/1.2</f>
        <v>730.9</v>
      </c>
      <c r="AN63" s="92" t="n">
        <f aca="false">AK63*1.2</f>
        <v>1052.5</v>
      </c>
      <c r="AO63" s="86" t="n">
        <f aca="false">AND((AC63)&gt;=MIN(AM63),(AC63)&lt;=MAX(AN63))</f>
        <v>1</v>
      </c>
      <c r="AP63" s="86" t="n">
        <f aca="false">AND((AF63)&gt;=MIN(AM63),(AF63)&lt;=MAX(AN63))</f>
        <v>1</v>
      </c>
      <c r="AQ63" s="86" t="n">
        <f aca="false">AND((AI63)&gt;=MIN(AM63),(AI63)&lt;=MAX(AN63))</f>
        <v>1</v>
      </c>
    </row>
    <row r="64" s="38" customFormat="true" ht="49.5" hidden="false" customHeight="true" outlineLevel="0" collapsed="false">
      <c r="A64" s="28" t="n">
        <v>54</v>
      </c>
      <c r="B64" s="57" t="s">
        <v>634</v>
      </c>
      <c r="C64" s="125" t="s">
        <v>27</v>
      </c>
      <c r="D64" s="125" t="n">
        <v>600</v>
      </c>
      <c r="E64" s="126" t="n">
        <f aca="false">AK64</f>
        <v>73.48</v>
      </c>
      <c r="F64" s="142" t="s">
        <v>635</v>
      </c>
      <c r="G64" s="34" t="n">
        <f aca="false">2940/25/1.2</f>
        <v>98</v>
      </c>
      <c r="H64" s="34" t="n">
        <f aca="false">D64*G64</f>
        <v>58800</v>
      </c>
      <c r="I64" s="42" t="s">
        <v>636</v>
      </c>
      <c r="J64" s="34" t="n">
        <f aca="false">2547/25/1.2</f>
        <v>84.9</v>
      </c>
      <c r="K64" s="34" t="n">
        <f aca="false">D64*J64</f>
        <v>50940</v>
      </c>
      <c r="L64" s="42" t="s">
        <v>637</v>
      </c>
      <c r="M64" s="34" t="n">
        <f aca="false">3230/25/1.2</f>
        <v>107.67</v>
      </c>
      <c r="N64" s="34" t="n">
        <f aca="false">D64*M64</f>
        <v>64602</v>
      </c>
      <c r="O64" s="127" t="n">
        <f aca="false">AVERAGE(G64,J64,M64)</f>
        <v>96.86</v>
      </c>
      <c r="P64" s="36" t="n">
        <f aca="false">E64*100/O64-100</f>
        <v>-24.1379310344828</v>
      </c>
      <c r="Q64" s="127" t="n">
        <f aca="false">D64*E64</f>
        <v>44088</v>
      </c>
      <c r="R64" s="37"/>
      <c r="T64" s="39" t="n">
        <f aca="false">ROUND(G64*100/O64-100,0)</f>
        <v>1</v>
      </c>
      <c r="U64" s="39" t="n">
        <f aca="false">ROUND(J64*100/O64-100,0)</f>
        <v>-12</v>
      </c>
      <c r="V64" s="39" t="n">
        <f aca="false">ROUND(M64*100/O64-100,0)</f>
        <v>11</v>
      </c>
      <c r="W64" s="85" t="n">
        <f aca="false">O64/1.2</f>
        <v>80.72</v>
      </c>
      <c r="X64" s="85" t="n">
        <f aca="false">O64*1.2</f>
        <v>116.23</v>
      </c>
      <c r="Y64" s="86" t="n">
        <f aca="false">AND((G64)&gt;=MIN(W64),(G64)&lt;=MAX(X64))</f>
        <v>1</v>
      </c>
      <c r="Z64" s="86" t="n">
        <f aca="false">AND((J64)&gt;=MIN(W64),(J64)&lt;=MAX(X64))</f>
        <v>1</v>
      </c>
      <c r="AA64" s="86" t="n">
        <f aca="false">AND((M64)&gt;=MIN(W64),(M64)&lt;=MAX(X64))</f>
        <v>1</v>
      </c>
      <c r="AB64" s="95" t="s">
        <v>907</v>
      </c>
      <c r="AC64" s="88" t="n">
        <f aca="false">2150/25/1.2</f>
        <v>71.67</v>
      </c>
      <c r="AD64" s="88" t="n">
        <f aca="false">AC64*D64</f>
        <v>43002</v>
      </c>
      <c r="AE64" s="95" t="s">
        <v>908</v>
      </c>
      <c r="AF64" s="88" t="n">
        <f aca="false">2313/1.2/25</f>
        <v>77.1</v>
      </c>
      <c r="AG64" s="89" t="n">
        <f aca="false">AF64*D64</f>
        <v>46260</v>
      </c>
      <c r="AH64" s="95" t="s">
        <v>909</v>
      </c>
      <c r="AI64" s="88" t="n">
        <f aca="false">2150/1.2/25</f>
        <v>71.67</v>
      </c>
      <c r="AJ64" s="89" t="n">
        <f aca="false">AI64*D64</f>
        <v>43002</v>
      </c>
      <c r="AK64" s="91" t="n">
        <f aca="false">AVERAGE(AC64,AF64,AI64)</f>
        <v>73.48</v>
      </c>
      <c r="AL64" s="91" t="n">
        <f aca="false">((E64-AK64)/AK64)*100</f>
        <v>0</v>
      </c>
      <c r="AM64" s="92" t="n">
        <f aca="false">AK64/1.2</f>
        <v>61.23</v>
      </c>
      <c r="AN64" s="92" t="n">
        <f aca="false">AK64*1.2</f>
        <v>88.18</v>
      </c>
      <c r="AO64" s="86" t="n">
        <f aca="false">AND((AC64)&gt;=MIN(AM64),(AC64)&lt;=MAX(AN64))</f>
        <v>1</v>
      </c>
      <c r="AP64" s="86" t="n">
        <f aca="false">AND((AF64)&gt;=MIN(AM64),(AF64)&lt;=MAX(AN64))</f>
        <v>1</v>
      </c>
      <c r="AQ64" s="86" t="n">
        <f aca="false">AND((AI64)&gt;=MIN(AM64),(AI64)&lt;=MAX(AN64))</f>
        <v>1</v>
      </c>
    </row>
    <row r="65" s="38" customFormat="true" ht="39.75" hidden="false" customHeight="true" outlineLevel="0" collapsed="false">
      <c r="A65" s="28" t="n">
        <v>55</v>
      </c>
      <c r="B65" s="57" t="s">
        <v>638</v>
      </c>
      <c r="C65" s="125" t="s">
        <v>64</v>
      </c>
      <c r="D65" s="125" t="n">
        <v>0.075</v>
      </c>
      <c r="E65" s="126" t="n">
        <f aca="false">O65</f>
        <v>2243.06</v>
      </c>
      <c r="F65" s="106" t="s">
        <v>911</v>
      </c>
      <c r="G65" s="34" t="n">
        <f aca="false">775/0.28/1.2</f>
        <v>2306.55</v>
      </c>
      <c r="H65" s="34" t="n">
        <f aca="false">D65*G65</f>
        <v>172.99</v>
      </c>
      <c r="I65" s="139" t="s">
        <v>912</v>
      </c>
      <c r="J65" s="34" t="n">
        <f aca="false">785/0.28/1.2</f>
        <v>2336.31</v>
      </c>
      <c r="K65" s="34" t="n">
        <f aca="false">D65*J65</f>
        <v>175.22</v>
      </c>
      <c r="L65" s="106" t="s">
        <v>913</v>
      </c>
      <c r="M65" s="34" t="n">
        <f aca="false">701/0.28/1.2</f>
        <v>2086.31</v>
      </c>
      <c r="N65" s="34" t="n">
        <f aca="false">D65*M65</f>
        <v>156.47</v>
      </c>
      <c r="O65" s="127" t="n">
        <f aca="false">AVERAGE(G65,J65,M65)</f>
        <v>2243.06</v>
      </c>
      <c r="P65" s="36" t="n">
        <f aca="false">E65*100/O65-100</f>
        <v>0</v>
      </c>
      <c r="Q65" s="127" t="n">
        <f aca="false">D65*E65</f>
        <v>168.23</v>
      </c>
      <c r="R65" s="37"/>
      <c r="T65" s="39" t="n">
        <f aca="false">ROUND(G65*100/O65-100,0)</f>
        <v>3</v>
      </c>
      <c r="U65" s="39" t="n">
        <f aca="false">ROUND(J65*100/O65-100,0)</f>
        <v>4</v>
      </c>
      <c r="V65" s="39" t="n">
        <f aca="false">ROUND(M65*100/O65-100,0)</f>
        <v>-7</v>
      </c>
      <c r="W65" s="85" t="n">
        <f aca="false">O65/1.2</f>
        <v>1869.22</v>
      </c>
      <c r="X65" s="85" t="n">
        <f aca="false">O65*1.2</f>
        <v>2691.67</v>
      </c>
      <c r="Y65" s="86" t="n">
        <f aca="false">AND((G65)&gt;=MIN(W65),(G65)&lt;=MAX(X65))</f>
        <v>1</v>
      </c>
      <c r="Z65" s="86" t="n">
        <f aca="false">AND((J65)&gt;=MIN(W65),(J65)&lt;=MAX(X65))</f>
        <v>1</v>
      </c>
      <c r="AA65" s="86" t="n">
        <f aca="false">AND((M65)&gt;=MIN(W65),(M65)&lt;=MAX(X65))</f>
        <v>1</v>
      </c>
      <c r="AB65" s="95" t="s">
        <v>911</v>
      </c>
      <c r="AC65" s="88" t="n">
        <f aca="false">775/0.28/1.2</f>
        <v>2306.55</v>
      </c>
      <c r="AD65" s="88" t="n">
        <f aca="false">AC65*D65</f>
        <v>172.99</v>
      </c>
      <c r="AE65" s="95" t="s">
        <v>912</v>
      </c>
      <c r="AF65" s="88" t="n">
        <f aca="false">785/0.28/1.2</f>
        <v>2336.31</v>
      </c>
      <c r="AG65" s="89" t="n">
        <f aca="false">AF65*D65</f>
        <v>175.22</v>
      </c>
      <c r="AH65" s="95" t="s">
        <v>913</v>
      </c>
      <c r="AI65" s="88" t="n">
        <f aca="false">701/0.28/1.2</f>
        <v>2086.31</v>
      </c>
      <c r="AJ65" s="89" t="n">
        <f aca="false">AI65*D65</f>
        <v>156.47</v>
      </c>
      <c r="AK65" s="91" t="n">
        <f aca="false">AVERAGE(AC65,AF65,AI65)</f>
        <v>2243.06</v>
      </c>
      <c r="AL65" s="91" t="n">
        <f aca="false">((E65-AK65)/AK65)*100</f>
        <v>0</v>
      </c>
      <c r="AM65" s="92" t="n">
        <f aca="false">AK65/1.2</f>
        <v>1869.22</v>
      </c>
      <c r="AN65" s="92" t="n">
        <f aca="false">AK65*1.2</f>
        <v>2691.67</v>
      </c>
      <c r="AO65" s="86" t="n">
        <f aca="false">AND((AC65)&gt;=MIN(AM65),(AC65)&lt;=MAX(AN65))</f>
        <v>1</v>
      </c>
      <c r="AP65" s="86" t="n">
        <f aca="false">AND((AF65)&gt;=MIN(AM65),(AF65)&lt;=MAX(AN65))</f>
        <v>1</v>
      </c>
      <c r="AQ65" s="86" t="n">
        <f aca="false">AND((AI65)&gt;=MIN(AM65),(AI65)&lt;=MAX(AN65))</f>
        <v>1</v>
      </c>
    </row>
    <row r="66" s="38" customFormat="true" ht="39.75" hidden="false" customHeight="true" outlineLevel="0" collapsed="false">
      <c r="A66" s="28" t="n">
        <v>56</v>
      </c>
      <c r="B66" s="57" t="s">
        <v>642</v>
      </c>
      <c r="C66" s="125" t="s">
        <v>27</v>
      </c>
      <c r="D66" s="125" t="n">
        <v>3996</v>
      </c>
      <c r="E66" s="126" t="n">
        <f aca="false">O66</f>
        <v>50.56</v>
      </c>
      <c r="F66" s="142" t="s">
        <v>643</v>
      </c>
      <c r="G66" s="34" t="n">
        <f aca="false">1500/25/1.2</f>
        <v>50</v>
      </c>
      <c r="H66" s="34" t="n">
        <f aca="false">D66*G66</f>
        <v>199800</v>
      </c>
      <c r="I66" s="42" t="s">
        <v>644</v>
      </c>
      <c r="J66" s="34" t="n">
        <f aca="false">1530/25/1.2</f>
        <v>51</v>
      </c>
      <c r="K66" s="34" t="n">
        <f aca="false">D66*J66</f>
        <v>203796</v>
      </c>
      <c r="L66" s="42" t="s">
        <v>645</v>
      </c>
      <c r="M66" s="34" t="n">
        <f aca="false">1520/25/1.2</f>
        <v>50.67</v>
      </c>
      <c r="N66" s="34" t="n">
        <f aca="false">D66*M66</f>
        <v>202477.32</v>
      </c>
      <c r="O66" s="127" t="n">
        <f aca="false">AVERAGE(G66,J66,M66)</f>
        <v>50.56</v>
      </c>
      <c r="P66" s="36" t="n">
        <f aca="false">E66*100/O66-100</f>
        <v>0</v>
      </c>
      <c r="Q66" s="127" t="n">
        <f aca="false">D66*E66</f>
        <v>202037.76</v>
      </c>
      <c r="R66" s="37"/>
      <c r="T66" s="39" t="n">
        <f aca="false">ROUND(G66*100/O66-100,0)</f>
        <v>-1</v>
      </c>
      <c r="U66" s="39" t="n">
        <f aca="false">ROUND(J66*100/O66-100,0)</f>
        <v>1</v>
      </c>
      <c r="V66" s="39" t="n">
        <f aca="false">ROUND(M66*100/O66-100,0)</f>
        <v>0</v>
      </c>
      <c r="W66" s="85" t="n">
        <f aca="false">O66/1.2</f>
        <v>42.13</v>
      </c>
      <c r="X66" s="85" t="n">
        <f aca="false">O66*1.2</f>
        <v>60.67</v>
      </c>
      <c r="Y66" s="86" t="n">
        <f aca="false">AND((G66)&gt;=MIN(W66),(G66)&lt;=MAX(X66))</f>
        <v>1</v>
      </c>
      <c r="Z66" s="86" t="n">
        <f aca="false">AND((J66)&gt;=MIN(W66),(J66)&lt;=MAX(X66))</f>
        <v>1</v>
      </c>
      <c r="AA66" s="86" t="n">
        <f aca="false">AND((M66)&gt;=MIN(W66),(M66)&lt;=MAX(X66))</f>
        <v>1</v>
      </c>
      <c r="AB66" s="95" t="s">
        <v>914</v>
      </c>
      <c r="AC66" s="88" t="n">
        <f aca="false">1774/25/1.2</f>
        <v>59.13</v>
      </c>
      <c r="AD66" s="88" t="n">
        <f aca="false">AC66*D66</f>
        <v>236283.48</v>
      </c>
      <c r="AE66" s="95" t="s">
        <v>915</v>
      </c>
      <c r="AF66" s="88" t="n">
        <f aca="false">1406/25/1.2</f>
        <v>46.87</v>
      </c>
      <c r="AG66" s="89" t="n">
        <f aca="false">AF66*D66</f>
        <v>187292.52</v>
      </c>
      <c r="AH66" s="95" t="s">
        <v>916</v>
      </c>
      <c r="AI66" s="88" t="n">
        <f aca="false">1530/1.2/25</f>
        <v>51</v>
      </c>
      <c r="AJ66" s="89" t="n">
        <f aca="false">AI66*D66</f>
        <v>203796</v>
      </c>
      <c r="AK66" s="91" t="n">
        <f aca="false">AVERAGE(AC66,AF66,AI66)</f>
        <v>52.33</v>
      </c>
      <c r="AL66" s="91" t="n">
        <f aca="false">((E66-AK66)/AK66)*100</f>
        <v>-3.38</v>
      </c>
      <c r="AM66" s="92" t="n">
        <f aca="false">AK66/1.2</f>
        <v>43.61</v>
      </c>
      <c r="AN66" s="92" t="n">
        <f aca="false">AK66*1.2</f>
        <v>62.8</v>
      </c>
      <c r="AO66" s="86" t="n">
        <f aca="false">AND((AC66)&gt;=MIN(AM66),(AC66)&lt;=MAX(AN66))</f>
        <v>1</v>
      </c>
      <c r="AP66" s="86" t="n">
        <f aca="false">AND((AF66)&gt;=MIN(AM66),(AF66)&lt;=MAX(AN66))</f>
        <v>1</v>
      </c>
      <c r="AQ66" s="86" t="n">
        <f aca="false">AND((AI66)&gt;=MIN(AM66),(AI66)&lt;=MAX(AN66))</f>
        <v>1</v>
      </c>
    </row>
    <row r="67" s="38" customFormat="true" ht="39.75" hidden="false" customHeight="true" outlineLevel="0" collapsed="false">
      <c r="A67" s="28" t="n">
        <v>57</v>
      </c>
      <c r="B67" s="57" t="s">
        <v>646</v>
      </c>
      <c r="C67" s="125" t="s">
        <v>27</v>
      </c>
      <c r="D67" s="125" t="n">
        <v>3996</v>
      </c>
      <c r="E67" s="126" t="n">
        <f aca="false">O67</f>
        <v>36.14</v>
      </c>
      <c r="F67" s="106" t="s">
        <v>918</v>
      </c>
      <c r="G67" s="34" t="n">
        <f aca="false">44.8/1.2</f>
        <v>37.33</v>
      </c>
      <c r="H67" s="34" t="n">
        <f aca="false">D67*G67</f>
        <v>149170.68</v>
      </c>
      <c r="I67" s="106" t="s">
        <v>919</v>
      </c>
      <c r="J67" s="34" t="n">
        <f aca="false">1134/25/1.2</f>
        <v>37.8</v>
      </c>
      <c r="K67" s="34" t="n">
        <f aca="false">D67*J67</f>
        <v>151048.8</v>
      </c>
      <c r="L67" s="139" t="s">
        <v>643</v>
      </c>
      <c r="M67" s="34" t="n">
        <f aca="false">999/25/1.2</f>
        <v>33.3</v>
      </c>
      <c r="N67" s="34" t="n">
        <f aca="false">D67*M67</f>
        <v>133066.8</v>
      </c>
      <c r="O67" s="127" t="n">
        <f aca="false">AVERAGE(G67,J67,M67)</f>
        <v>36.14</v>
      </c>
      <c r="P67" s="36" t="n">
        <f aca="false">E67*100/O67-100</f>
        <v>0</v>
      </c>
      <c r="Q67" s="127" t="n">
        <f aca="false">D67*E67</f>
        <v>144415.44</v>
      </c>
      <c r="R67" s="37"/>
      <c r="T67" s="39" t="n">
        <f aca="false">ROUND(G67*100/O67-100,0)</f>
        <v>3</v>
      </c>
      <c r="U67" s="39" t="n">
        <f aca="false">ROUND(J67*100/O67-100,0)</f>
        <v>5</v>
      </c>
      <c r="V67" s="39" t="n">
        <f aca="false">ROUND(M67*100/O67-100,0)</f>
        <v>-8</v>
      </c>
      <c r="W67" s="85" t="n">
        <f aca="false">O67/1.2</f>
        <v>30.12</v>
      </c>
      <c r="X67" s="85" t="n">
        <f aca="false">O67*1.2</f>
        <v>43.37</v>
      </c>
      <c r="Y67" s="86" t="n">
        <f aca="false">AND((G67)&gt;=MIN(W67),(G67)&lt;=MAX(X67))</f>
        <v>1</v>
      </c>
      <c r="Z67" s="86" t="n">
        <f aca="false">AND((J67)&gt;=MIN(W67),(J67)&lt;=MAX(X67))</f>
        <v>1</v>
      </c>
      <c r="AA67" s="86" t="n">
        <f aca="false">AND((M67)&gt;=MIN(W67),(M67)&lt;=MAX(X67))</f>
        <v>1</v>
      </c>
      <c r="AB67" s="95" t="s">
        <v>918</v>
      </c>
      <c r="AC67" s="88" t="n">
        <f aca="false">44.8/1.2</f>
        <v>37.33</v>
      </c>
      <c r="AD67" s="88" t="n">
        <f aca="false">AC67*D67</f>
        <v>149170.68</v>
      </c>
      <c r="AE67" s="95" t="s">
        <v>919</v>
      </c>
      <c r="AF67" s="88" t="n">
        <f aca="false">1134/25/1.2</f>
        <v>37.8</v>
      </c>
      <c r="AG67" s="89" t="n">
        <f aca="false">AF67*D67</f>
        <v>151048.8</v>
      </c>
      <c r="AH67" s="95" t="s">
        <v>643</v>
      </c>
      <c r="AI67" s="88" t="n">
        <f aca="false">999/25/1.2</f>
        <v>33.3</v>
      </c>
      <c r="AJ67" s="89" t="n">
        <f aca="false">AI67*D67</f>
        <v>133066.8</v>
      </c>
      <c r="AK67" s="91" t="n">
        <f aca="false">AVERAGE(AC67,AF67,AI67)</f>
        <v>36.14</v>
      </c>
      <c r="AL67" s="91" t="n">
        <f aca="false">((E67-AK67)/AK67)*100</f>
        <v>0</v>
      </c>
      <c r="AM67" s="92" t="n">
        <f aca="false">AK67/1.2</f>
        <v>30.12</v>
      </c>
      <c r="AN67" s="92" t="n">
        <f aca="false">AK67*1.2</f>
        <v>43.37</v>
      </c>
      <c r="AO67" s="86" t="n">
        <f aca="false">AND((AC67)&gt;=MIN(AM67),(AC67)&lt;=MAX(AN67))</f>
        <v>1</v>
      </c>
      <c r="AP67" s="86" t="n">
        <f aca="false">AND((AF67)&gt;=MIN(AM67),(AF67)&lt;=MAX(AN67))</f>
        <v>1</v>
      </c>
      <c r="AQ67" s="86" t="n">
        <f aca="false">AND((AI67)&gt;=MIN(AM67),(AI67)&lt;=MAX(AN67))</f>
        <v>1</v>
      </c>
    </row>
    <row r="68" s="38" customFormat="true" ht="45" hidden="false" customHeight="true" outlineLevel="0" collapsed="false">
      <c r="A68" s="28" t="n">
        <v>58</v>
      </c>
      <c r="B68" s="57" t="s">
        <v>649</v>
      </c>
      <c r="C68" s="125" t="s">
        <v>27</v>
      </c>
      <c r="D68" s="125" t="n">
        <v>1797.6</v>
      </c>
      <c r="E68" s="126" t="n">
        <v>26.79</v>
      </c>
      <c r="F68" s="106" t="s">
        <v>921</v>
      </c>
      <c r="G68" s="34" t="n">
        <f aca="false">755/25/1.2</f>
        <v>25.17</v>
      </c>
      <c r="H68" s="34" t="n">
        <f aca="false">D68*G68</f>
        <v>45245.59</v>
      </c>
      <c r="I68" s="106" t="s">
        <v>922</v>
      </c>
      <c r="J68" s="34" t="n">
        <f aca="false">937/25/1.2</f>
        <v>31.23</v>
      </c>
      <c r="K68" s="34" t="n">
        <f aca="false">D68*J68</f>
        <v>56139.05</v>
      </c>
      <c r="L68" s="106" t="s">
        <v>923</v>
      </c>
      <c r="M68" s="34" t="n">
        <f aca="false">812/25/1.2</f>
        <v>27.07</v>
      </c>
      <c r="N68" s="34" t="n">
        <f aca="false">D68*M68</f>
        <v>48661.03</v>
      </c>
      <c r="O68" s="127" t="n">
        <f aca="false">AVERAGE(G68,J68,M68)</f>
        <v>27.82</v>
      </c>
      <c r="P68" s="36" t="n">
        <f aca="false">E68*100/O68-100</f>
        <v>-3.70237239396118</v>
      </c>
      <c r="Q68" s="127" t="n">
        <f aca="false">D68*E68</f>
        <v>48157.7</v>
      </c>
      <c r="R68" s="37"/>
      <c r="T68" s="39" t="n">
        <f aca="false">ROUND(G68*100/O68-100,0)</f>
        <v>-10</v>
      </c>
      <c r="U68" s="39" t="n">
        <f aca="false">ROUND(J68*100/O68-100,0)</f>
        <v>12</v>
      </c>
      <c r="V68" s="39" t="n">
        <f aca="false">ROUND(M68*100/O68-100,0)</f>
        <v>-3</v>
      </c>
      <c r="W68" s="85" t="n">
        <f aca="false">O68/1.2</f>
        <v>23.18</v>
      </c>
      <c r="X68" s="85" t="n">
        <f aca="false">O68*1.2</f>
        <v>33.38</v>
      </c>
      <c r="Y68" s="86" t="n">
        <f aca="false">AND((G68)&gt;=MIN(W68),(G68)&lt;=MAX(X68))</f>
        <v>1</v>
      </c>
      <c r="Z68" s="86" t="n">
        <f aca="false">AND((J68)&gt;=MIN(W68),(J68)&lt;=MAX(X68))</f>
        <v>1</v>
      </c>
      <c r="AA68" s="86" t="n">
        <f aca="false">AND((M68)&gt;=MIN(W68),(M68)&lt;=MAX(X68))</f>
        <v>1</v>
      </c>
      <c r="AB68" s="95" t="s">
        <v>921</v>
      </c>
      <c r="AC68" s="88" t="n">
        <f aca="false">30.2/1.2</f>
        <v>25.17</v>
      </c>
      <c r="AD68" s="88" t="n">
        <f aca="false">AC68*D68</f>
        <v>45245.59</v>
      </c>
      <c r="AE68" s="95" t="s">
        <v>922</v>
      </c>
      <c r="AF68" s="88" t="n">
        <f aca="false">844/25/1.2</f>
        <v>28.13</v>
      </c>
      <c r="AG68" s="89" t="n">
        <f aca="false">AF68*D68</f>
        <v>50566.49</v>
      </c>
      <c r="AH68" s="95" t="s">
        <v>923</v>
      </c>
      <c r="AI68" s="88" t="n">
        <f aca="false">812/25/1.2</f>
        <v>27.07</v>
      </c>
      <c r="AJ68" s="89" t="n">
        <f aca="false">AI68*D68</f>
        <v>48661.03</v>
      </c>
      <c r="AK68" s="91" t="n">
        <f aca="false">AVERAGE(AC68,AF68,AI68)</f>
        <v>26.79</v>
      </c>
      <c r="AL68" s="91" t="n">
        <f aca="false">((E68-AK68)/AK68)*100</f>
        <v>0</v>
      </c>
      <c r="AM68" s="92" t="n">
        <f aca="false">AK68/1.2</f>
        <v>22.33</v>
      </c>
      <c r="AN68" s="92" t="n">
        <f aca="false">AK68*1.2</f>
        <v>32.15</v>
      </c>
      <c r="AO68" s="86" t="n">
        <f aca="false">AND((AC68)&gt;=MIN(AM68),(AC68)&lt;=MAX(AN68))</f>
        <v>1</v>
      </c>
      <c r="AP68" s="86" t="n">
        <f aca="false">AND((AF68)&gt;=MIN(AM68),(AF68)&lt;=MAX(AN68))</f>
        <v>1</v>
      </c>
      <c r="AQ68" s="86" t="n">
        <f aca="false">AND((AI68)&gt;=MIN(AM68),(AI68)&lt;=MAX(AN68))</f>
        <v>1</v>
      </c>
    </row>
    <row r="69" s="38" customFormat="true" ht="45" hidden="false" customHeight="true" outlineLevel="0" collapsed="false">
      <c r="A69" s="28" t="n">
        <v>59</v>
      </c>
      <c r="B69" s="57" t="s">
        <v>653</v>
      </c>
      <c r="C69" s="125" t="s">
        <v>64</v>
      </c>
      <c r="D69" s="125" t="n">
        <v>37.5</v>
      </c>
      <c r="E69" s="126" t="n">
        <v>907.41</v>
      </c>
      <c r="F69" s="142" t="s">
        <v>654</v>
      </c>
      <c r="G69" s="34" t="n">
        <f aca="false">898/750*1000/1.2</f>
        <v>997.78</v>
      </c>
      <c r="H69" s="34" t="n">
        <f aca="false">D69*G69</f>
        <v>37416.75</v>
      </c>
      <c r="I69" s="42" t="s">
        <v>655</v>
      </c>
      <c r="J69" s="34" t="n">
        <f aca="false">899/750*1000/1.2</f>
        <v>998.89</v>
      </c>
      <c r="K69" s="34" t="n">
        <f aca="false">D69*J69</f>
        <v>37458.38</v>
      </c>
      <c r="L69" s="42" t="s">
        <v>656</v>
      </c>
      <c r="M69" s="34" t="n">
        <f aca="false">850/750*1000/1.2</f>
        <v>944.44</v>
      </c>
      <c r="N69" s="34" t="n">
        <f aca="false">D69*M69</f>
        <v>35416.5</v>
      </c>
      <c r="O69" s="127" t="n">
        <f aca="false">AVERAGE(G69,J69,M69)</f>
        <v>980.37</v>
      </c>
      <c r="P69" s="36" t="n">
        <f aca="false">E69*100/O69-100</f>
        <v>-7.44208819119312</v>
      </c>
      <c r="Q69" s="127" t="n">
        <f aca="false">D69*E69</f>
        <v>34027.88</v>
      </c>
      <c r="R69" s="37"/>
      <c r="T69" s="39" t="n">
        <f aca="false">ROUND(G69*100/O69-100,0)</f>
        <v>2</v>
      </c>
      <c r="U69" s="39" t="n">
        <f aca="false">ROUND(J69*100/O69-100,0)</f>
        <v>2</v>
      </c>
      <c r="V69" s="39" t="n">
        <f aca="false">ROUND(M69*100/O69-100,0)</f>
        <v>-4</v>
      </c>
      <c r="W69" s="85" t="n">
        <f aca="false">O69/1.2</f>
        <v>816.98</v>
      </c>
      <c r="X69" s="85" t="n">
        <f aca="false">O69*1.2</f>
        <v>1176.44</v>
      </c>
      <c r="Y69" s="86" t="n">
        <f aca="false">AND((G69)&gt;=MIN(W69),(G69)&lt;=MAX(X69))</f>
        <v>1</v>
      </c>
      <c r="Z69" s="86" t="n">
        <f aca="false">AND((J69)&gt;=MIN(W69),(J69)&lt;=MAX(X69))</f>
        <v>1</v>
      </c>
      <c r="AA69" s="86" t="n">
        <f aca="false">AND((M69)&gt;=MIN(W69),(M69)&lt;=MAX(X69))</f>
        <v>1</v>
      </c>
      <c r="AB69" s="95" t="s">
        <v>924</v>
      </c>
      <c r="AC69" s="88" t="n">
        <f aca="false">772/0.75/1.2</f>
        <v>857.78</v>
      </c>
      <c r="AD69" s="88" t="n">
        <f aca="false">AC69*D69</f>
        <v>32166.75</v>
      </c>
      <c r="AE69" s="95" t="s">
        <v>925</v>
      </c>
      <c r="AF69" s="88" t="n">
        <f aca="false">779/0.75/1.2</f>
        <v>865.56</v>
      </c>
      <c r="AG69" s="89" t="n">
        <f aca="false">AF69*D69</f>
        <v>32458.5</v>
      </c>
      <c r="AH69" s="95" t="s">
        <v>926</v>
      </c>
      <c r="AI69" s="88" t="n">
        <f aca="false">899/0.75/1.2</f>
        <v>998.89</v>
      </c>
      <c r="AJ69" s="89" t="n">
        <f aca="false">AI69*D69</f>
        <v>37458.38</v>
      </c>
      <c r="AK69" s="91" t="n">
        <f aca="false">AVERAGE(AC69,AF69,AI69)</f>
        <v>907.41</v>
      </c>
      <c r="AL69" s="91" t="n">
        <f aca="false">((E69-AK69)/AK69)*100</f>
        <v>0</v>
      </c>
      <c r="AM69" s="92" t="n">
        <f aca="false">AK69/1.2</f>
        <v>756.18</v>
      </c>
      <c r="AN69" s="92" t="n">
        <f aca="false">AK69*1.2</f>
        <v>1088.89</v>
      </c>
      <c r="AO69" s="86" t="n">
        <f aca="false">AND((AC69)&gt;=MIN(AM69),(AC69)&lt;=MAX(AN69))</f>
        <v>1</v>
      </c>
      <c r="AP69" s="86" t="n">
        <f aca="false">AND((AF69)&gt;=MIN(AM69),(AF69)&lt;=MAX(AN69))</f>
        <v>1</v>
      </c>
      <c r="AQ69" s="86" t="n">
        <f aca="false">AND((AI69)&gt;=MIN(AM69),(AI69)&lt;=MAX(AN69))</f>
        <v>1</v>
      </c>
    </row>
    <row r="70" s="38" customFormat="true" ht="45" hidden="false" customHeight="true" outlineLevel="0" collapsed="false">
      <c r="A70" s="28" t="n">
        <v>60</v>
      </c>
      <c r="B70" s="57" t="s">
        <v>1039</v>
      </c>
      <c r="C70" s="125" t="s">
        <v>27</v>
      </c>
      <c r="D70" s="125" t="n">
        <v>214</v>
      </c>
      <c r="E70" s="126" t="n">
        <v>201.53</v>
      </c>
      <c r="F70" s="106" t="s">
        <v>929</v>
      </c>
      <c r="G70" s="34" t="n">
        <f aca="false">262/1.2</f>
        <v>218.33</v>
      </c>
      <c r="H70" s="34" t="n">
        <f aca="false">D70*G70</f>
        <v>46722.62</v>
      </c>
      <c r="I70" s="106" t="s">
        <v>930</v>
      </c>
      <c r="J70" s="34" t="n">
        <f aca="false">257/1.2</f>
        <v>214.17</v>
      </c>
      <c r="K70" s="34" t="n">
        <f aca="false">D70*J70</f>
        <v>45832.38</v>
      </c>
      <c r="L70" s="106" t="s">
        <v>931</v>
      </c>
      <c r="M70" s="34" t="n">
        <f aca="false">449/2/1.2</f>
        <v>187.08</v>
      </c>
      <c r="N70" s="34" t="n">
        <f aca="false">D70*M70</f>
        <v>40035.12</v>
      </c>
      <c r="O70" s="127" t="n">
        <f aca="false">AVERAGE(G70,J70,M70)</f>
        <v>206.53</v>
      </c>
      <c r="P70" s="36" t="n">
        <f aca="false">E70*100/O70-100</f>
        <v>-2.42095579334722</v>
      </c>
      <c r="Q70" s="127" t="n">
        <f aca="false">D70*E70</f>
        <v>43127.42</v>
      </c>
      <c r="R70" s="37"/>
      <c r="T70" s="39" t="n">
        <f aca="false">ROUND(G70*100/O70-100,0)</f>
        <v>6</v>
      </c>
      <c r="U70" s="39" t="n">
        <f aca="false">ROUND(J70*100/O70-100,0)</f>
        <v>4</v>
      </c>
      <c r="V70" s="39" t="n">
        <f aca="false">ROUND(M70*100/O70-100,0)</f>
        <v>-9</v>
      </c>
      <c r="W70" s="85" t="n">
        <f aca="false">O70/1.2</f>
        <v>172.11</v>
      </c>
      <c r="X70" s="85" t="n">
        <f aca="false">O70*1.2</f>
        <v>247.84</v>
      </c>
      <c r="Y70" s="86" t="n">
        <f aca="false">AND((G70)&gt;=MIN(W70),(G70)&lt;=MAX(X70))</f>
        <v>1</v>
      </c>
      <c r="Z70" s="86" t="n">
        <f aca="false">AND((J70)&gt;=MIN(W70),(J70)&lt;=MAX(X70))</f>
        <v>1</v>
      </c>
      <c r="AA70" s="86" t="n">
        <f aca="false">AND((M70)&gt;=MIN(W70),(M70)&lt;=MAX(X70))</f>
        <v>1</v>
      </c>
      <c r="AB70" s="95" t="s">
        <v>929</v>
      </c>
      <c r="AC70" s="88" t="n">
        <f aca="false">247.5/1.2</f>
        <v>206.25</v>
      </c>
      <c r="AD70" s="88" t="n">
        <f aca="false">AC70*D70</f>
        <v>44137.5</v>
      </c>
      <c r="AE70" s="95" t="s">
        <v>930</v>
      </c>
      <c r="AF70" s="88" t="n">
        <f aca="false">268/1.2</f>
        <v>223.33</v>
      </c>
      <c r="AG70" s="89" t="n">
        <f aca="false">AF70*D70</f>
        <v>47792.62</v>
      </c>
      <c r="AH70" s="95" t="s">
        <v>931</v>
      </c>
      <c r="AI70" s="88" t="n">
        <f aca="false">420/2/1.2</f>
        <v>175</v>
      </c>
      <c r="AJ70" s="89" t="n">
        <f aca="false">AI70*D70</f>
        <v>37450</v>
      </c>
      <c r="AK70" s="91" t="n">
        <f aca="false">AVERAGE(AC70,AF70,AI70)</f>
        <v>201.53</v>
      </c>
      <c r="AL70" s="91" t="n">
        <f aca="false">((E70-AK70)/AK70)*100</f>
        <v>0</v>
      </c>
      <c r="AM70" s="92" t="n">
        <f aca="false">AK70/1.2</f>
        <v>167.94</v>
      </c>
      <c r="AN70" s="92" t="n">
        <f aca="false">AK70*1.2</f>
        <v>241.84</v>
      </c>
      <c r="AO70" s="86" t="n">
        <f aca="false">AND((AC70)&gt;=MIN(AM70),(AC70)&lt;=MAX(AN70))</f>
        <v>1</v>
      </c>
      <c r="AP70" s="86" t="n">
        <f aca="false">AND((AF70)&gt;=MIN(AM70),(AF70)&lt;=MAX(AN70))</f>
        <v>1</v>
      </c>
      <c r="AQ70" s="86" t="n">
        <f aca="false">AND((AI70)&gt;=MIN(AM70),(AI70)&lt;=MAX(AN70))</f>
        <v>1</v>
      </c>
    </row>
    <row r="71" s="38" customFormat="true" ht="39" hidden="false" customHeight="true" outlineLevel="0" collapsed="false">
      <c r="A71" s="28" t="n">
        <v>61</v>
      </c>
      <c r="B71" s="57" t="s">
        <v>1040</v>
      </c>
      <c r="C71" s="125" t="s">
        <v>27</v>
      </c>
      <c r="D71" s="125" t="n">
        <v>545.94</v>
      </c>
      <c r="E71" s="126" t="n">
        <f aca="false">O71</f>
        <v>758.48</v>
      </c>
      <c r="F71" s="106" t="s">
        <v>1041</v>
      </c>
      <c r="G71" s="34" t="n">
        <f aca="false">1790/1.9/1.2</f>
        <v>785.09</v>
      </c>
      <c r="H71" s="34" t="n">
        <f aca="false">D71*G71</f>
        <v>428612.03</v>
      </c>
      <c r="I71" s="106" t="s">
        <v>1042</v>
      </c>
      <c r="J71" s="34" t="n">
        <f aca="false">1770/1.9/1.2</f>
        <v>776.32</v>
      </c>
      <c r="K71" s="34" t="n">
        <f aca="false">D71*J71</f>
        <v>423824.14</v>
      </c>
      <c r="L71" s="106" t="s">
        <v>1043</v>
      </c>
      <c r="M71" s="34" t="n">
        <f aca="false">1628/1.9/1.2</f>
        <v>714.04</v>
      </c>
      <c r="N71" s="34" t="n">
        <f aca="false">D71*M71</f>
        <v>389823</v>
      </c>
      <c r="O71" s="127" t="n">
        <f aca="false">AVERAGE(G71,J71,M71)</f>
        <v>758.48</v>
      </c>
      <c r="P71" s="36" t="n">
        <f aca="false">E71*100/O71-100</f>
        <v>0</v>
      </c>
      <c r="Q71" s="127" t="n">
        <f aca="false">D71*E71</f>
        <v>414084.57</v>
      </c>
      <c r="R71" s="37"/>
      <c r="T71" s="39" t="n">
        <f aca="false">ROUND(G71*100/O71-100,0)</f>
        <v>4</v>
      </c>
      <c r="U71" s="39" t="n">
        <f aca="false">ROUND(J71*100/O71-100,0)</f>
        <v>2</v>
      </c>
      <c r="V71" s="39" t="n">
        <f aca="false">ROUND(M71*100/O71-100,0)</f>
        <v>-6</v>
      </c>
      <c r="W71" s="85" t="n">
        <f aca="false">O71/1.2</f>
        <v>632.07</v>
      </c>
      <c r="X71" s="85" t="n">
        <f aca="false">O71*1.2</f>
        <v>910.18</v>
      </c>
      <c r="Y71" s="86" t="n">
        <f aca="false">AND((G71)&gt;=MIN(W71),(G71)&lt;=MAX(X71))</f>
        <v>1</v>
      </c>
      <c r="Z71" s="86" t="n">
        <f aca="false">AND((J71)&gt;=MIN(W71),(J71)&lt;=MAX(X71))</f>
        <v>1</v>
      </c>
      <c r="AA71" s="86" t="n">
        <f aca="false">AND((M71)&gt;=MIN(W71),(M71)&lt;=MAX(X71))</f>
        <v>1</v>
      </c>
      <c r="AB71" s="95" t="s">
        <v>1041</v>
      </c>
      <c r="AC71" s="88" t="n">
        <f aca="false">1790/1.9/1.2</f>
        <v>785.09</v>
      </c>
      <c r="AD71" s="88" t="n">
        <f aca="false">AC71*D71</f>
        <v>428612.03</v>
      </c>
      <c r="AE71" s="95" t="s">
        <v>1042</v>
      </c>
      <c r="AF71" s="88" t="n">
        <f aca="false">1770/1.9/1.2</f>
        <v>776.32</v>
      </c>
      <c r="AG71" s="89" t="n">
        <f aca="false">AF71*D71</f>
        <v>423824.14</v>
      </c>
      <c r="AH71" s="95" t="s">
        <v>1043</v>
      </c>
      <c r="AI71" s="88" t="n">
        <f aca="false">1628/1.9/1.2</f>
        <v>714.04</v>
      </c>
      <c r="AJ71" s="89" t="n">
        <f aca="false">AI71*D71</f>
        <v>389823</v>
      </c>
      <c r="AK71" s="91" t="n">
        <f aca="false">AVERAGE(AC71,AF71,AI71)</f>
        <v>758.48</v>
      </c>
      <c r="AL71" s="91" t="n">
        <f aca="false">((E71-AK71)/AK71)*100</f>
        <v>0</v>
      </c>
      <c r="AM71" s="92" t="n">
        <f aca="false">AK71/1.2</f>
        <v>632.07</v>
      </c>
      <c r="AN71" s="92" t="n">
        <f aca="false">AK71*1.2</f>
        <v>910.18</v>
      </c>
      <c r="AO71" s="86" t="n">
        <f aca="false">AND((AC71)&gt;=MIN(AM71),(AC71)&lt;=MAX(AN71))</f>
        <v>1</v>
      </c>
      <c r="AP71" s="86" t="n">
        <f aca="false">AND((AF71)&gt;=MIN(AM71),(AF71)&lt;=MAX(AN71))</f>
        <v>1</v>
      </c>
      <c r="AQ71" s="86" t="n">
        <f aca="false">AND((AI71)&gt;=MIN(AM71),(AI71)&lt;=MAX(AN71))</f>
        <v>1</v>
      </c>
    </row>
    <row r="72" s="38" customFormat="true" ht="39" hidden="false" customHeight="true" outlineLevel="0" collapsed="false">
      <c r="A72" s="28" t="n">
        <v>62</v>
      </c>
      <c r="B72" s="57" t="s">
        <v>1044</v>
      </c>
      <c r="C72" s="125" t="s">
        <v>675</v>
      </c>
      <c r="D72" s="125" t="n">
        <v>172.15</v>
      </c>
      <c r="E72" s="126" t="n">
        <f aca="false">AK72</f>
        <v>1822.22</v>
      </c>
      <c r="F72" s="106" t="s">
        <v>1045</v>
      </c>
      <c r="G72" s="34" t="n">
        <v>3708</v>
      </c>
      <c r="H72" s="34" t="n">
        <v>638332.2</v>
      </c>
      <c r="I72" s="106" t="s">
        <v>1046</v>
      </c>
      <c r="J72" s="34" t="n">
        <v>4127.75</v>
      </c>
      <c r="K72" s="34" t="n">
        <v>710592.16</v>
      </c>
      <c r="L72" s="106" t="s">
        <v>1047</v>
      </c>
      <c r="M72" s="34" t="n">
        <v>4450</v>
      </c>
      <c r="N72" s="34" t="n">
        <v>766067.5</v>
      </c>
      <c r="O72" s="127" t="n">
        <f aca="false">AVERAGE(G72,J72,M72)</f>
        <v>4095.25</v>
      </c>
      <c r="P72" s="36" t="n">
        <f aca="false">E72*100/O72-100</f>
        <v>-55.5040595812222</v>
      </c>
      <c r="Q72" s="127" t="n">
        <f aca="false">D72*E72</f>
        <v>313695.17</v>
      </c>
      <c r="R72" s="37"/>
      <c r="T72" s="39" t="n">
        <f aca="false">ROUND(G72*100/O72-100,0)</f>
        <v>-9</v>
      </c>
      <c r="U72" s="39" t="n">
        <f aca="false">ROUND(J72*100/O72-100,0)</f>
        <v>1</v>
      </c>
      <c r="V72" s="39" t="n">
        <f aca="false">ROUND(M72*100/O72-100,0)</f>
        <v>9</v>
      </c>
      <c r="W72" s="85" t="n">
        <f aca="false">O72/1.2</f>
        <v>3412.71</v>
      </c>
      <c r="X72" s="85" t="n">
        <f aca="false">O72*1.2</f>
        <v>4914.3</v>
      </c>
      <c r="Y72" s="86" t="n">
        <f aca="false">AND((G72)&gt;=MIN(W72),(G72)&lt;=MAX(X72))</f>
        <v>1</v>
      </c>
      <c r="Z72" s="86" t="n">
        <f aca="false">AND((J72)&gt;=MIN(W72),(J72)&lt;=MAX(X72))</f>
        <v>1</v>
      </c>
      <c r="AA72" s="86" t="n">
        <f aca="false">AND((M72)&gt;=MIN(W72),(M72)&lt;=MAX(X72))</f>
        <v>1</v>
      </c>
      <c r="AB72" s="95" t="s">
        <v>1048</v>
      </c>
      <c r="AC72" s="88" t="n">
        <f aca="false">2160/1.2</f>
        <v>1800</v>
      </c>
      <c r="AD72" s="88" t="n">
        <f aca="false">AC72*D72</f>
        <v>309870</v>
      </c>
      <c r="AE72" s="95" t="s">
        <v>1049</v>
      </c>
      <c r="AF72" s="88" t="n">
        <f aca="false">2400/1.2</f>
        <v>2000</v>
      </c>
      <c r="AG72" s="89" t="n">
        <f aca="false">AF72*D72</f>
        <v>344300</v>
      </c>
      <c r="AH72" s="95" t="s">
        <v>1050</v>
      </c>
      <c r="AI72" s="88" t="n">
        <f aca="false">2000/1.2</f>
        <v>1666.67</v>
      </c>
      <c r="AJ72" s="89" t="n">
        <f aca="false">AI72*D72</f>
        <v>286917.24</v>
      </c>
      <c r="AK72" s="91" t="n">
        <f aca="false">AVERAGE(AC72,AF72,AI72)</f>
        <v>1822.22</v>
      </c>
      <c r="AL72" s="91" t="n">
        <f aca="false">((E72-AK72)/AK72)*100</f>
        <v>0</v>
      </c>
      <c r="AM72" s="92" t="n">
        <f aca="false">AK72/1.2</f>
        <v>1518.52</v>
      </c>
      <c r="AN72" s="92" t="n">
        <f aca="false">AK72*1.2</f>
        <v>2186.66</v>
      </c>
      <c r="AO72" s="86" t="n">
        <f aca="false">AND((AC72)&gt;=MIN(AM72),(AC72)&lt;=MAX(AN72))</f>
        <v>1</v>
      </c>
      <c r="AP72" s="86" t="n">
        <f aca="false">AND((AF72)&gt;=MIN(AM72),(AF72)&lt;=MAX(AN72))</f>
        <v>1</v>
      </c>
      <c r="AQ72" s="86" t="n">
        <f aca="false">AND((AI72)&gt;=MIN(AM72),(AI72)&lt;=MAX(AN72))</f>
        <v>1</v>
      </c>
    </row>
    <row r="73" s="38" customFormat="true" ht="34.5" hidden="false" customHeight="true" outlineLevel="0" collapsed="false">
      <c r="A73" s="28" t="n">
        <v>63</v>
      </c>
      <c r="B73" s="57" t="s">
        <v>679</v>
      </c>
      <c r="C73" s="125" t="s">
        <v>27</v>
      </c>
      <c r="D73" s="125" t="n">
        <v>1826.9</v>
      </c>
      <c r="E73" s="126" t="n">
        <f aca="false">AK73</f>
        <v>12.71</v>
      </c>
      <c r="F73" s="106" t="s">
        <v>943</v>
      </c>
      <c r="G73" s="34" t="n">
        <f aca="false">400/25/1.2</f>
        <v>13.33</v>
      </c>
      <c r="H73" s="68" t="n">
        <f aca="false">D73*G73</f>
        <v>24352.58</v>
      </c>
      <c r="I73" s="106" t="s">
        <v>944</v>
      </c>
      <c r="J73" s="34" t="n">
        <f aca="false">374/25/1.2</f>
        <v>12.47</v>
      </c>
      <c r="K73" s="68" t="n">
        <f aca="false">D73*J73</f>
        <v>22781.44</v>
      </c>
      <c r="L73" s="106" t="s">
        <v>945</v>
      </c>
      <c r="M73" s="34" t="n">
        <f aca="false">380/25/1.2</f>
        <v>12.67</v>
      </c>
      <c r="N73" s="34" t="n">
        <f aca="false">D73*M73</f>
        <v>23146.82</v>
      </c>
      <c r="O73" s="127" t="n">
        <f aca="false">AVERAGE(G73,J73,M73)</f>
        <v>12.82</v>
      </c>
      <c r="P73" s="36" t="n">
        <f aca="false">E73*100/O73-100</f>
        <v>-0.858034321372855</v>
      </c>
      <c r="Q73" s="127" t="n">
        <f aca="false">D73*E73</f>
        <v>23219.9</v>
      </c>
      <c r="R73" s="37"/>
      <c r="T73" s="39" t="n">
        <f aca="false">ROUND(G73*100/O73-100,0)</f>
        <v>4</v>
      </c>
      <c r="U73" s="39" t="n">
        <f aca="false">ROUND(J73*100/O73-100,0)</f>
        <v>-3</v>
      </c>
      <c r="V73" s="39" t="n">
        <f aca="false">ROUND(M73*100/O73-100,0)</f>
        <v>-1</v>
      </c>
      <c r="W73" s="85" t="n">
        <f aca="false">O73/1.2</f>
        <v>10.68</v>
      </c>
      <c r="X73" s="85" t="n">
        <f aca="false">O73*1.2</f>
        <v>15.38</v>
      </c>
      <c r="Y73" s="86" t="n">
        <f aca="false">AND((G73)&gt;=MIN(W73),(G73)&lt;=MAX(X73))</f>
        <v>1</v>
      </c>
      <c r="Z73" s="86" t="n">
        <f aca="false">AND((J73)&gt;=MIN(W73),(J73)&lt;=MAX(X73))</f>
        <v>1</v>
      </c>
      <c r="AA73" s="86" t="n">
        <f aca="false">AND((M73)&gt;=MIN(W73),(M73)&lt;=MAX(X73))</f>
        <v>1</v>
      </c>
      <c r="AB73" s="95" t="s">
        <v>943</v>
      </c>
      <c r="AC73" s="88" t="n">
        <f aca="false">390/25/1.2</f>
        <v>13</v>
      </c>
      <c r="AD73" s="88" t="n">
        <f aca="false">AC73*D73</f>
        <v>23749.7</v>
      </c>
      <c r="AE73" s="95" t="s">
        <v>944</v>
      </c>
      <c r="AF73" s="88" t="n">
        <f aca="false">374/25/1.2</f>
        <v>12.47</v>
      </c>
      <c r="AG73" s="89" t="n">
        <f aca="false">AF73*D73</f>
        <v>22781.44</v>
      </c>
      <c r="AH73" s="95" t="s">
        <v>945</v>
      </c>
      <c r="AI73" s="88" t="n">
        <f aca="false">380/25/1.2</f>
        <v>12.67</v>
      </c>
      <c r="AJ73" s="89" t="n">
        <f aca="false">AI73*D73</f>
        <v>23146.82</v>
      </c>
      <c r="AK73" s="91" t="n">
        <f aca="false">AVERAGE(AC73,AF73,AI73)</f>
        <v>12.71</v>
      </c>
      <c r="AL73" s="91" t="n">
        <f aca="false">((E73-AK73)/AK73)*100</f>
        <v>0</v>
      </c>
      <c r="AM73" s="92" t="n">
        <f aca="false">AK73/1.2</f>
        <v>10.59</v>
      </c>
      <c r="AN73" s="92" t="n">
        <f aca="false">AK73*1.2</f>
        <v>15.25</v>
      </c>
      <c r="AO73" s="86" t="n">
        <f aca="false">AND((AC73)&gt;=MIN(AM73),(AC73)&lt;=MAX(AN73))</f>
        <v>1</v>
      </c>
      <c r="AP73" s="86" t="n">
        <f aca="false">AND((AF73)&gt;=MIN(AM73),(AF73)&lt;=MAX(AN73))</f>
        <v>1</v>
      </c>
      <c r="AQ73" s="86" t="n">
        <f aca="false">AND((AI73)&gt;=MIN(AM73),(AI73)&lt;=MAX(AN73))</f>
        <v>1</v>
      </c>
    </row>
    <row r="74" s="38" customFormat="true" ht="34.5" hidden="false" customHeight="true" outlineLevel="0" collapsed="false">
      <c r="A74" s="28" t="n">
        <v>64</v>
      </c>
      <c r="B74" s="57" t="s">
        <v>683</v>
      </c>
      <c r="C74" s="125" t="s">
        <v>27</v>
      </c>
      <c r="D74" s="125" t="n">
        <v>92</v>
      </c>
      <c r="E74" s="126" t="n">
        <f aca="false">AK74</f>
        <v>336.94</v>
      </c>
      <c r="F74" s="106" t="s">
        <v>946</v>
      </c>
      <c r="G74" s="34" t="n">
        <f aca="false">2360/5.3/1.2</f>
        <v>371.07</v>
      </c>
      <c r="H74" s="34" t="n">
        <f aca="false">D74*G74</f>
        <v>34138.44</v>
      </c>
      <c r="I74" s="106" t="s">
        <v>947</v>
      </c>
      <c r="J74" s="34" t="n">
        <f aca="false">393/1.2</f>
        <v>327.5</v>
      </c>
      <c r="K74" s="34" t="n">
        <f aca="false">D74*J74</f>
        <v>30130</v>
      </c>
      <c r="L74" s="106" t="s">
        <v>948</v>
      </c>
      <c r="M74" s="34" t="n">
        <f aca="false">1990/5.3/1.2</f>
        <v>312.89</v>
      </c>
      <c r="N74" s="34" t="n">
        <f aca="false">D74*M74</f>
        <v>28785.88</v>
      </c>
      <c r="O74" s="127" t="n">
        <f aca="false">AVERAGE(G74,J74,M74)</f>
        <v>337.15</v>
      </c>
      <c r="P74" s="36" t="n">
        <f aca="false">E74*100/O74-100</f>
        <v>-0.0622868159572789</v>
      </c>
      <c r="Q74" s="127" t="n">
        <f aca="false">D74*E74</f>
        <v>30998.48</v>
      </c>
      <c r="R74" s="37"/>
      <c r="T74" s="39" t="n">
        <f aca="false">ROUND(G74*100/O74-100,0)</f>
        <v>10</v>
      </c>
      <c r="U74" s="39" t="n">
        <f aca="false">ROUND(J74*100/O74-100,0)</f>
        <v>-3</v>
      </c>
      <c r="V74" s="39" t="n">
        <f aca="false">ROUND(M74*100/O74-100,0)</f>
        <v>-7</v>
      </c>
      <c r="W74" s="85" t="n">
        <f aca="false">O74/1.2</f>
        <v>280.96</v>
      </c>
      <c r="X74" s="85" t="n">
        <f aca="false">O74*1.2</f>
        <v>404.58</v>
      </c>
      <c r="Y74" s="86" t="n">
        <f aca="false">AND((G74)&gt;=MIN(W74),(G74)&lt;=MAX(X74))</f>
        <v>1</v>
      </c>
      <c r="Z74" s="86" t="n">
        <f aca="false">AND((J74)&gt;=MIN(W74),(J74)&lt;=MAX(X74))</f>
        <v>1</v>
      </c>
      <c r="AA74" s="86" t="n">
        <f aca="false">AND((M74)&gt;=MIN(W74),(M74)&lt;=MAX(X74))</f>
        <v>1</v>
      </c>
      <c r="AB74" s="95" t="s">
        <v>946</v>
      </c>
      <c r="AC74" s="88" t="n">
        <f aca="false">2360/5.3/1.2</f>
        <v>371.07</v>
      </c>
      <c r="AD74" s="88" t="n">
        <f aca="false">AC74*D74</f>
        <v>34138.44</v>
      </c>
      <c r="AE74" s="95" t="s">
        <v>947</v>
      </c>
      <c r="AF74" s="88" t="n">
        <f aca="false">385/1.2</f>
        <v>320.83</v>
      </c>
      <c r="AG74" s="89" t="n">
        <f aca="false">AF74*D74</f>
        <v>29516.36</v>
      </c>
      <c r="AH74" s="95" t="s">
        <v>948</v>
      </c>
      <c r="AI74" s="88" t="n">
        <f aca="false">1990/5.2/1.2</f>
        <v>318.91</v>
      </c>
      <c r="AJ74" s="89" t="n">
        <f aca="false">AI74*D74</f>
        <v>29339.72</v>
      </c>
      <c r="AK74" s="91" t="n">
        <f aca="false">AVERAGE(AC74,AF74,AI74)</f>
        <v>336.94</v>
      </c>
      <c r="AL74" s="91" t="n">
        <f aca="false">((E74-AK74)/AK74)*100</f>
        <v>0</v>
      </c>
      <c r="AM74" s="92" t="n">
        <f aca="false">AK74/1.2</f>
        <v>280.78</v>
      </c>
      <c r="AN74" s="92" t="n">
        <f aca="false">AK74*1.2</f>
        <v>404.33</v>
      </c>
      <c r="AO74" s="86" t="n">
        <f aca="false">AND((AC74)&gt;=MIN(AM74),(AC74)&lt;=MAX(AN74))</f>
        <v>1</v>
      </c>
      <c r="AP74" s="86" t="n">
        <f aca="false">AND((AF74)&gt;=MIN(AM74),(AF74)&lt;=MAX(AN74))</f>
        <v>1</v>
      </c>
      <c r="AQ74" s="86" t="n">
        <f aca="false">AND((AI74)&gt;=MIN(AM74),(AI74)&lt;=MAX(AN74))</f>
        <v>1</v>
      </c>
    </row>
    <row r="75" s="38" customFormat="true" ht="49.5" hidden="false" customHeight="true" outlineLevel="0" collapsed="false">
      <c r="A75" s="28" t="n">
        <v>65</v>
      </c>
      <c r="B75" s="57" t="s">
        <v>1051</v>
      </c>
      <c r="C75" s="125" t="s">
        <v>143</v>
      </c>
      <c r="D75" s="125" t="n">
        <v>10</v>
      </c>
      <c r="E75" s="126" t="n">
        <f aca="false">O75</f>
        <v>779.45</v>
      </c>
      <c r="F75" s="106" t="s">
        <v>1052</v>
      </c>
      <c r="G75" s="34" t="n">
        <f aca="false">935/1.2</f>
        <v>779.17</v>
      </c>
      <c r="H75" s="34" t="n">
        <f aca="false">D75*G75</f>
        <v>7791.7</v>
      </c>
      <c r="I75" s="106" t="s">
        <v>1053</v>
      </c>
      <c r="J75" s="34" t="n">
        <f aca="false">935/1.2</f>
        <v>779.17</v>
      </c>
      <c r="K75" s="34" t="n">
        <f aca="false">D75*J75</f>
        <v>7791.7</v>
      </c>
      <c r="L75" s="106" t="s">
        <v>1054</v>
      </c>
      <c r="M75" s="34" t="n">
        <f aca="false">936/1.2</f>
        <v>780</v>
      </c>
      <c r="N75" s="34" t="n">
        <f aca="false">D75*M75</f>
        <v>7800</v>
      </c>
      <c r="O75" s="127" t="n">
        <f aca="false">AVERAGE(G75,J75,M75)</f>
        <v>779.45</v>
      </c>
      <c r="P75" s="36" t="n">
        <f aca="false">E75*100/O75-100</f>
        <v>0</v>
      </c>
      <c r="Q75" s="127" t="n">
        <f aca="false">D75*E75</f>
        <v>7794.5</v>
      </c>
      <c r="R75" s="37"/>
      <c r="T75" s="151"/>
      <c r="U75" s="151"/>
      <c r="V75" s="151"/>
      <c r="W75" s="85" t="n">
        <f aca="false">O75/1.2</f>
        <v>649.54</v>
      </c>
      <c r="X75" s="85" t="n">
        <f aca="false">O75*1.2</f>
        <v>935.34</v>
      </c>
      <c r="Y75" s="86" t="n">
        <f aca="false">AND((G75)&gt;=MIN(W75),(G75)&lt;=MAX(X75))</f>
        <v>1</v>
      </c>
      <c r="Z75" s="86" t="n">
        <f aca="false">AND((J75)&gt;=MIN(W75),(J75)&lt;=MAX(X75))</f>
        <v>1</v>
      </c>
      <c r="AA75" s="86" t="n">
        <f aca="false">AND((M75)&gt;=MIN(W75),(M75)&lt;=MAX(X75))</f>
        <v>1</v>
      </c>
      <c r="AB75" s="95" t="s">
        <v>1055</v>
      </c>
      <c r="AC75" s="88" t="n">
        <f aca="false">936/1.2</f>
        <v>780</v>
      </c>
      <c r="AD75" s="88" t="n">
        <f aca="false">AC75*D75</f>
        <v>7800</v>
      </c>
      <c r="AE75" s="95" t="s">
        <v>1056</v>
      </c>
      <c r="AF75" s="88" t="n">
        <f aca="false">935.4/1.2</f>
        <v>779.5</v>
      </c>
      <c r="AG75" s="89" t="n">
        <f aca="false">AF75*D75</f>
        <v>7795</v>
      </c>
      <c r="AH75" s="95" t="s">
        <v>1057</v>
      </c>
      <c r="AI75" s="88" t="n">
        <f aca="false">935/1.2</f>
        <v>779.17</v>
      </c>
      <c r="AJ75" s="89" t="n">
        <f aca="false">AI75*D75</f>
        <v>7791.7</v>
      </c>
      <c r="AK75" s="91" t="n">
        <f aca="false">AVERAGE(AC75,AF75,AI75)</f>
        <v>779.56</v>
      </c>
      <c r="AL75" s="91" t="n">
        <f aca="false">((E75-AK75)/AK75)*100</f>
        <v>-0.01</v>
      </c>
      <c r="AM75" s="92" t="n">
        <f aca="false">AK75/1.2</f>
        <v>649.63</v>
      </c>
      <c r="AN75" s="92" t="n">
        <f aca="false">AK75*1.2</f>
        <v>935.47</v>
      </c>
      <c r="AO75" s="86" t="n">
        <f aca="false">AND((AC75)&gt;=MIN(AM75),(AC75)&lt;=MAX(AN75))</f>
        <v>1</v>
      </c>
      <c r="AP75" s="86" t="n">
        <f aca="false">AND((AF75)&gt;=MIN(AM75),(AF75)&lt;=MAX(AN75))</f>
        <v>1</v>
      </c>
      <c r="AQ75" s="86" t="n">
        <f aca="false">AND((AI75)&gt;=MIN(AM75),(AI75)&lt;=MAX(AN75))</f>
        <v>1</v>
      </c>
    </row>
    <row r="76" s="38" customFormat="true" ht="39" hidden="false" customHeight="true" outlineLevel="0" collapsed="false">
      <c r="A76" s="28" t="n">
        <v>66</v>
      </c>
      <c r="B76" s="57" t="s">
        <v>1058</v>
      </c>
      <c r="C76" s="125" t="s">
        <v>143</v>
      </c>
      <c r="D76" s="125" t="n">
        <v>448</v>
      </c>
      <c r="E76" s="126" t="n">
        <f aca="false">O76</f>
        <v>75</v>
      </c>
      <c r="F76" s="106" t="s">
        <v>1059</v>
      </c>
      <c r="G76" s="34" t="n">
        <f aca="false">87/1.2</f>
        <v>72.5</v>
      </c>
      <c r="H76" s="34" t="n">
        <f aca="false">D76*G76</f>
        <v>32480</v>
      </c>
      <c r="I76" s="106" t="s">
        <v>1060</v>
      </c>
      <c r="J76" s="34" t="n">
        <f aca="false">87/1.2</f>
        <v>72.5</v>
      </c>
      <c r="K76" s="34" t="n">
        <f aca="false">D76*J76</f>
        <v>32480</v>
      </c>
      <c r="L76" s="106" t="s">
        <v>1061</v>
      </c>
      <c r="M76" s="34" t="n">
        <f aca="false">96/1.2</f>
        <v>80</v>
      </c>
      <c r="N76" s="34" t="n">
        <f aca="false">D76*M76</f>
        <v>35840</v>
      </c>
      <c r="O76" s="127" t="n">
        <f aca="false">AVERAGE(G76,J76,M76)</f>
        <v>75</v>
      </c>
      <c r="P76" s="36" t="n">
        <f aca="false">E76*100/O76-100</f>
        <v>0</v>
      </c>
      <c r="Q76" s="127" t="n">
        <f aca="false">D76*E76</f>
        <v>33600</v>
      </c>
      <c r="R76" s="37"/>
      <c r="T76" s="151"/>
      <c r="U76" s="151"/>
      <c r="V76" s="151"/>
      <c r="W76" s="85" t="n">
        <f aca="false">O76/1.2</f>
        <v>62.5</v>
      </c>
      <c r="X76" s="85" t="n">
        <f aca="false">O76*1.2</f>
        <v>90</v>
      </c>
      <c r="Y76" s="86" t="n">
        <f aca="false">AND((G76)&gt;=MIN(W76),(G76)&lt;=MAX(X76))</f>
        <v>1</v>
      </c>
      <c r="Z76" s="86" t="n">
        <f aca="false">AND((J76)&gt;=MIN(W76),(J76)&lt;=MAX(X76))</f>
        <v>1</v>
      </c>
      <c r="AA76" s="86" t="n">
        <f aca="false">AND((M76)&gt;=MIN(W76),(M76)&lt;=MAX(X76))</f>
        <v>1</v>
      </c>
      <c r="AB76" s="95" t="s">
        <v>1062</v>
      </c>
      <c r="AC76" s="88" t="n">
        <f aca="false">96/1.2</f>
        <v>80</v>
      </c>
      <c r="AD76" s="88" t="n">
        <f aca="false">AC76*D76</f>
        <v>35840</v>
      </c>
      <c r="AE76" s="95" t="s">
        <v>1063</v>
      </c>
      <c r="AF76" s="88" t="n">
        <f aca="false">87/1.2</f>
        <v>72.5</v>
      </c>
      <c r="AG76" s="89" t="n">
        <f aca="false">AF76*D76</f>
        <v>32480</v>
      </c>
      <c r="AH76" s="95" t="s">
        <v>1064</v>
      </c>
      <c r="AI76" s="88" t="n">
        <f aca="false">87/1.2</f>
        <v>72.5</v>
      </c>
      <c r="AJ76" s="89" t="n">
        <f aca="false">AI76*D76</f>
        <v>32480</v>
      </c>
      <c r="AK76" s="91" t="n">
        <f aca="false">AVERAGE(AC76,AF76,AI76)</f>
        <v>75</v>
      </c>
      <c r="AL76" s="91" t="n">
        <f aca="false">((E76-AK76)/AK76)*100</f>
        <v>0</v>
      </c>
      <c r="AM76" s="92" t="n">
        <f aca="false">AK76/1.2</f>
        <v>62.5</v>
      </c>
      <c r="AN76" s="92" t="n">
        <f aca="false">AK76*1.2</f>
        <v>90</v>
      </c>
      <c r="AO76" s="86" t="n">
        <f aca="false">AND((AC76)&gt;=MIN(AM76),(AC76)&lt;=MAX(AN76))</f>
        <v>1</v>
      </c>
      <c r="AP76" s="86" t="n">
        <f aca="false">AND((AF76)&gt;=MIN(AM76),(AF76)&lt;=MAX(AN76))</f>
        <v>1</v>
      </c>
      <c r="AQ76" s="86" t="n">
        <f aca="false">AND((AI76)&gt;=MIN(AM76),(AI76)&lt;=MAX(AN76))</f>
        <v>1</v>
      </c>
    </row>
    <row r="77" s="38" customFormat="true" ht="47.25" hidden="false" customHeight="true" outlineLevel="0" collapsed="false">
      <c r="A77" s="28" t="n">
        <v>67</v>
      </c>
      <c r="B77" s="57" t="s">
        <v>1065</v>
      </c>
      <c r="C77" s="125" t="s">
        <v>143</v>
      </c>
      <c r="D77" s="125" t="n">
        <v>290</v>
      </c>
      <c r="E77" s="126" t="n">
        <f aca="false">O77</f>
        <v>1053.89</v>
      </c>
      <c r="F77" s="106" t="s">
        <v>1066</v>
      </c>
      <c r="G77" s="34" t="n">
        <f aca="false">1262/1.2</f>
        <v>1051.67</v>
      </c>
      <c r="H77" s="34" t="n">
        <f aca="false">D77*G77</f>
        <v>304984.3</v>
      </c>
      <c r="I77" s="106" t="s">
        <v>1067</v>
      </c>
      <c r="J77" s="34" t="n">
        <f aca="false">1270/1.2</f>
        <v>1058.33</v>
      </c>
      <c r="K77" s="34" t="n">
        <f aca="false">D77*J77</f>
        <v>306915.7</v>
      </c>
      <c r="L77" s="106" t="s">
        <v>1068</v>
      </c>
      <c r="M77" s="34" t="n">
        <f aca="false">1262/1.2</f>
        <v>1051.67</v>
      </c>
      <c r="N77" s="34" t="n">
        <f aca="false">D77*M77</f>
        <v>304984.3</v>
      </c>
      <c r="O77" s="127" t="n">
        <f aca="false">AVERAGE(G77,J77,M77)</f>
        <v>1053.89</v>
      </c>
      <c r="P77" s="36" t="n">
        <f aca="false">E77*100/O77-100</f>
        <v>0</v>
      </c>
      <c r="Q77" s="127" t="n">
        <f aca="false">D77*E77</f>
        <v>305628.1</v>
      </c>
      <c r="R77" s="37"/>
      <c r="T77" s="151"/>
      <c r="U77" s="151"/>
      <c r="V77" s="151"/>
      <c r="W77" s="85" t="n">
        <f aca="false">O77/1.2</f>
        <v>878.24</v>
      </c>
      <c r="X77" s="85" t="n">
        <f aca="false">O77*1.2</f>
        <v>1264.67</v>
      </c>
      <c r="Y77" s="86" t="n">
        <f aca="false">AND((G77)&gt;=MIN(W77),(G77)&lt;=MAX(X77))</f>
        <v>1</v>
      </c>
      <c r="Z77" s="86" t="n">
        <f aca="false">AND((J77)&gt;=MIN(W77),(J77)&lt;=MAX(X77))</f>
        <v>1</v>
      </c>
      <c r="AA77" s="86" t="n">
        <f aca="false">AND((M77)&gt;=MIN(W77),(M77)&lt;=MAX(X77))</f>
        <v>1</v>
      </c>
      <c r="AB77" s="95" t="s">
        <v>1069</v>
      </c>
      <c r="AC77" s="88" t="n">
        <f aca="false">1262/1.2</f>
        <v>1051.67</v>
      </c>
      <c r="AD77" s="152" t="n">
        <f aca="false">AC77*D77</f>
        <v>304984.3</v>
      </c>
      <c r="AE77" s="95" t="s">
        <v>1070</v>
      </c>
      <c r="AF77" s="88" t="n">
        <f aca="false">1270/1.2</f>
        <v>1058.33</v>
      </c>
      <c r="AG77" s="89" t="n">
        <f aca="false">AF77*D77</f>
        <v>306915.7</v>
      </c>
      <c r="AH77" s="95" t="s">
        <v>1071</v>
      </c>
      <c r="AI77" s="88" t="n">
        <f aca="false">1262/1.2</f>
        <v>1051.67</v>
      </c>
      <c r="AJ77" s="89" t="n">
        <f aca="false">AI77*D77</f>
        <v>304984.3</v>
      </c>
      <c r="AK77" s="91" t="n">
        <f aca="false">AVERAGE(AC77,AF77,AI77)</f>
        <v>1053.89</v>
      </c>
      <c r="AL77" s="91" t="n">
        <f aca="false">((E77-AK77)/AK77)*100</f>
        <v>0</v>
      </c>
      <c r="AM77" s="92" t="n">
        <f aca="false">AK77/1.2</f>
        <v>878.24</v>
      </c>
      <c r="AN77" s="92" t="n">
        <f aca="false">AK77*1.2</f>
        <v>1264.67</v>
      </c>
      <c r="AO77" s="86" t="n">
        <f aca="false">AND((AC77)&gt;=MIN(AM77),(AC77)&lt;=MAX(AN77))</f>
        <v>1</v>
      </c>
      <c r="AP77" s="86" t="n">
        <f aca="false">AND((AF77)&gt;=MIN(AM77),(AF77)&lt;=MAX(AN77))</f>
        <v>1</v>
      </c>
      <c r="AQ77" s="86" t="n">
        <f aca="false">AND((AI77)&gt;=MIN(AM77),(AI77)&lt;=MAX(AN77))</f>
        <v>1</v>
      </c>
    </row>
    <row r="78" s="38" customFormat="true" ht="36.75" hidden="false" customHeight="true" outlineLevel="0" collapsed="false">
      <c r="A78" s="28" t="n">
        <v>68</v>
      </c>
      <c r="B78" s="57" t="s">
        <v>1072</v>
      </c>
      <c r="C78" s="125" t="s">
        <v>143</v>
      </c>
      <c r="D78" s="125" t="n">
        <v>1440</v>
      </c>
      <c r="E78" s="126" t="n">
        <f aca="false">O78</f>
        <v>2.06</v>
      </c>
      <c r="F78" s="106" t="s">
        <v>1073</v>
      </c>
      <c r="G78" s="34" t="n">
        <f aca="false">72.46/30/1.2</f>
        <v>2.01</v>
      </c>
      <c r="H78" s="34" t="n">
        <f aca="false">D78*G78</f>
        <v>2894.4</v>
      </c>
      <c r="I78" s="106" t="s">
        <v>1074</v>
      </c>
      <c r="J78" s="34" t="n">
        <f aca="false">77.5/30/1.2</f>
        <v>2.15</v>
      </c>
      <c r="K78" s="34" t="n">
        <f aca="false">D78*J78</f>
        <v>3096</v>
      </c>
      <c r="L78" s="106" t="s">
        <v>1075</v>
      </c>
      <c r="M78" s="34" t="n">
        <f aca="false">73.2/30/1.2</f>
        <v>2.03</v>
      </c>
      <c r="N78" s="34" t="n">
        <f aca="false">D78*M78</f>
        <v>2923.2</v>
      </c>
      <c r="O78" s="127" t="n">
        <f aca="false">AVERAGE(G78,J78,M78)</f>
        <v>2.06</v>
      </c>
      <c r="P78" s="36" t="n">
        <f aca="false">E78*100/O78-100</f>
        <v>0</v>
      </c>
      <c r="Q78" s="127" t="n">
        <f aca="false">D78*E78</f>
        <v>2966.4</v>
      </c>
      <c r="R78" s="37"/>
      <c r="T78" s="151"/>
      <c r="U78" s="151"/>
      <c r="V78" s="151"/>
      <c r="W78" s="85" t="n">
        <f aca="false">O78/1.2</f>
        <v>1.72</v>
      </c>
      <c r="X78" s="85" t="n">
        <f aca="false">O78*1.2</f>
        <v>2.47</v>
      </c>
      <c r="Y78" s="86" t="n">
        <f aca="false">AND((G78)&gt;=MIN(W78),(G78)&lt;=MAX(X78))</f>
        <v>1</v>
      </c>
      <c r="Z78" s="86" t="n">
        <f aca="false">AND((J78)&gt;=MIN(W78),(J78)&lt;=MAX(X78))</f>
        <v>1</v>
      </c>
      <c r="AA78" s="86" t="n">
        <f aca="false">AND((M78)&gt;=MIN(W78),(M78)&lt;=MAX(X78))</f>
        <v>1</v>
      </c>
      <c r="AB78" s="95" t="s">
        <v>1076</v>
      </c>
      <c r="AC78" s="88" t="n">
        <f aca="false">456/5/30/1.2</f>
        <v>2.53</v>
      </c>
      <c r="AD78" s="152" t="n">
        <f aca="false">AC78*D78</f>
        <v>3643.2</v>
      </c>
      <c r="AE78" s="95" t="s">
        <v>1077</v>
      </c>
      <c r="AF78" s="88" t="n">
        <f aca="false">391/5/30/1.2</f>
        <v>2.17</v>
      </c>
      <c r="AG78" s="89" t="n">
        <f aca="false">AF78*D78</f>
        <v>3124.8</v>
      </c>
      <c r="AH78" s="95" t="s">
        <v>1074</v>
      </c>
      <c r="AI78" s="88" t="n">
        <f aca="false">77.5/30/1.2</f>
        <v>2.15</v>
      </c>
      <c r="AJ78" s="89" t="n">
        <f aca="false">AI78*D78</f>
        <v>3096</v>
      </c>
      <c r="AK78" s="91" t="n">
        <f aca="false">AVERAGE(AC78,AF78,AI78)</f>
        <v>2.28</v>
      </c>
      <c r="AL78" s="91" t="n">
        <f aca="false">((E78-AK78)/AK78)*100</f>
        <v>-9.65</v>
      </c>
      <c r="AM78" s="92" t="n">
        <f aca="false">AK78/1.2</f>
        <v>1.9</v>
      </c>
      <c r="AN78" s="92" t="n">
        <f aca="false">AK78*1.2</f>
        <v>2.74</v>
      </c>
      <c r="AO78" s="86" t="n">
        <f aca="false">AND((AC78)&gt;=MIN(AM78),(AC78)&lt;=MAX(AN78))</f>
        <v>1</v>
      </c>
      <c r="AP78" s="86" t="n">
        <f aca="false">AND((AF78)&gt;=MIN(AM78),(AF78)&lt;=MAX(AN78))</f>
        <v>1</v>
      </c>
      <c r="AQ78" s="86" t="n">
        <f aca="false">AND((AI78)&gt;=MIN(AM78),(AI78)&lt;=MAX(AN78))</f>
        <v>1</v>
      </c>
    </row>
    <row r="79" s="38" customFormat="true" ht="41.25" hidden="false" customHeight="true" outlineLevel="0" collapsed="false">
      <c r="A79" s="28" t="n">
        <v>69</v>
      </c>
      <c r="B79" s="57" t="s">
        <v>1078</v>
      </c>
      <c r="C79" s="125" t="s">
        <v>64</v>
      </c>
      <c r="D79" s="125" t="n">
        <v>17.25</v>
      </c>
      <c r="E79" s="126" t="n">
        <f aca="false">O79</f>
        <v>206.02</v>
      </c>
      <c r="F79" s="106" t="s">
        <v>1079</v>
      </c>
      <c r="G79" s="34" t="n">
        <f aca="false">280/1.2</f>
        <v>233.33</v>
      </c>
      <c r="H79" s="34" t="n">
        <f aca="false">D79*G79</f>
        <v>4024.94</v>
      </c>
      <c r="I79" s="106" t="s">
        <v>1080</v>
      </c>
      <c r="J79" s="34" t="n">
        <f aca="false">6650/30/1.2</f>
        <v>184.72</v>
      </c>
      <c r="K79" s="34" t="n">
        <f aca="false">D79*J79</f>
        <v>3186.42</v>
      </c>
      <c r="L79" s="106" t="s">
        <v>1081</v>
      </c>
      <c r="M79" s="34" t="n">
        <f aca="false">240/1.2</f>
        <v>200</v>
      </c>
      <c r="N79" s="34" t="n">
        <f aca="false">D79*M79</f>
        <v>3450</v>
      </c>
      <c r="O79" s="127" t="n">
        <f aca="false">AVERAGE(G79,J79,M79)</f>
        <v>206.02</v>
      </c>
      <c r="P79" s="36" t="n">
        <f aca="false">E79*100/O79-100</f>
        <v>0</v>
      </c>
      <c r="Q79" s="127" t="n">
        <f aca="false">D79*E79</f>
        <v>3553.85</v>
      </c>
      <c r="R79" s="37"/>
      <c r="T79" s="151"/>
      <c r="U79" s="151"/>
      <c r="V79" s="151"/>
      <c r="W79" s="85" t="n">
        <f aca="false">O79/1.2</f>
        <v>171.68</v>
      </c>
      <c r="X79" s="85" t="n">
        <f aca="false">O79*1.2</f>
        <v>247.22</v>
      </c>
      <c r="Y79" s="86" t="n">
        <f aca="false">AND((G79)&gt;=MIN(W79),(G79)&lt;=MAX(X79))</f>
        <v>1</v>
      </c>
      <c r="Z79" s="86" t="n">
        <f aca="false">AND((J79)&gt;=MIN(W79),(J79)&lt;=MAX(X79))</f>
        <v>1</v>
      </c>
      <c r="AA79" s="86" t="n">
        <f aca="false">AND((M79)&gt;=MIN(W79),(M79)&lt;=MAX(X79))</f>
        <v>1</v>
      </c>
      <c r="AB79" s="95" t="s">
        <v>1082</v>
      </c>
      <c r="AC79" s="88" t="n">
        <f aca="false">280/1.2</f>
        <v>233.33</v>
      </c>
      <c r="AD79" s="88" t="n">
        <f aca="false">AC79*D79</f>
        <v>4024.94</v>
      </c>
      <c r="AE79" s="95" t="s">
        <v>1083</v>
      </c>
      <c r="AF79" s="88" t="n">
        <f aca="false">16569/60/1.2</f>
        <v>230.13</v>
      </c>
      <c r="AG79" s="89" t="n">
        <f aca="false">AF79*D79</f>
        <v>3969.74</v>
      </c>
      <c r="AH79" s="95" t="s">
        <v>1084</v>
      </c>
      <c r="AI79" s="88" t="n">
        <f aca="false">6650/30/1.2</f>
        <v>184.72</v>
      </c>
      <c r="AJ79" s="89" t="n">
        <f aca="false">AI79*D79</f>
        <v>3186.42</v>
      </c>
      <c r="AK79" s="91" t="n">
        <f aca="false">AVERAGE(AC79,AF79,AI79)</f>
        <v>216.06</v>
      </c>
      <c r="AL79" s="91" t="n">
        <f aca="false">((E79-AK79)/AK79)*100</f>
        <v>-4.65</v>
      </c>
      <c r="AM79" s="92" t="n">
        <f aca="false">AK79/1.2</f>
        <v>180.05</v>
      </c>
      <c r="AN79" s="92" t="n">
        <f aca="false">AK79*1.2</f>
        <v>259.27</v>
      </c>
      <c r="AO79" s="86" t="n">
        <f aca="false">AND((AC79)&gt;=MIN(AM79),(AC79)&lt;=MAX(AN79))</f>
        <v>1</v>
      </c>
      <c r="AP79" s="86" t="n">
        <f aca="false">AND((AF79)&gt;=MIN(AM79),(AF79)&lt;=MAX(AN79))</f>
        <v>1</v>
      </c>
      <c r="AQ79" s="86" t="n">
        <f aca="false">AND((AI79)&gt;=MIN(AM79),(AI79)&lt;=MAX(AN79))</f>
        <v>1</v>
      </c>
    </row>
    <row r="80" s="38" customFormat="true" ht="47.25" hidden="false" customHeight="true" outlineLevel="0" collapsed="false">
      <c r="A80" s="28" t="n">
        <v>70</v>
      </c>
      <c r="B80" s="57" t="s">
        <v>1085</v>
      </c>
      <c r="C80" s="125" t="s">
        <v>40</v>
      </c>
      <c r="D80" s="125" t="n">
        <v>20</v>
      </c>
      <c r="E80" s="126" t="n">
        <f aca="false">O80</f>
        <v>270</v>
      </c>
      <c r="F80" s="106" t="s">
        <v>1086</v>
      </c>
      <c r="G80" s="34" t="n">
        <f aca="false">302/1.2</f>
        <v>251.67</v>
      </c>
      <c r="H80" s="34" t="n">
        <f aca="false">D80*G80</f>
        <v>5033.4</v>
      </c>
      <c r="I80" s="106" t="s">
        <v>1087</v>
      </c>
      <c r="J80" s="34" t="n">
        <f aca="false">326/1.2</f>
        <v>271.67</v>
      </c>
      <c r="K80" s="34" t="n">
        <f aca="false">D80*J80</f>
        <v>5433.4</v>
      </c>
      <c r="L80" s="106" t="s">
        <v>1088</v>
      </c>
      <c r="M80" s="34" t="n">
        <f aca="false">344/1.2</f>
        <v>286.67</v>
      </c>
      <c r="N80" s="34" t="n">
        <f aca="false">D80*M80</f>
        <v>5733.4</v>
      </c>
      <c r="O80" s="127" t="n">
        <f aca="false">AVERAGE(G80,J80,M80)</f>
        <v>270</v>
      </c>
      <c r="P80" s="36" t="n">
        <f aca="false">E80*100/O80-100</f>
        <v>0</v>
      </c>
      <c r="Q80" s="127" t="n">
        <f aca="false">D80*E80</f>
        <v>5400</v>
      </c>
      <c r="R80" s="37"/>
      <c r="T80" s="151"/>
      <c r="U80" s="151"/>
      <c r="V80" s="151"/>
      <c r="W80" s="85" t="n">
        <f aca="false">O80/1.2</f>
        <v>225</v>
      </c>
      <c r="X80" s="85" t="n">
        <f aca="false">O80*1.2</f>
        <v>324</v>
      </c>
      <c r="Y80" s="86" t="n">
        <f aca="false">AND((G80)&gt;=MIN(W80),(G80)&lt;=MAX(X80))</f>
        <v>1</v>
      </c>
      <c r="Z80" s="86" t="n">
        <f aca="false">AND((J80)&gt;=MIN(W80),(J80)&lt;=MAX(X80))</f>
        <v>1</v>
      </c>
      <c r="AA80" s="86" t="n">
        <f aca="false">AND((M80)&gt;=MIN(W80),(M80)&lt;=MAX(X80))</f>
        <v>1</v>
      </c>
      <c r="AB80" s="95" t="s">
        <v>1089</v>
      </c>
      <c r="AC80" s="88" t="n">
        <f aca="false">527/1.2</f>
        <v>439.17</v>
      </c>
      <c r="AD80" s="88" t="n">
        <f aca="false">AC80*D80</f>
        <v>8783.4</v>
      </c>
      <c r="AE80" s="95" t="s">
        <v>1090</v>
      </c>
      <c r="AF80" s="88" t="n">
        <f aca="false">390/1.2</f>
        <v>325</v>
      </c>
      <c r="AG80" s="89" t="n">
        <f aca="false">AF80*D80</f>
        <v>6500</v>
      </c>
      <c r="AH80" s="95" t="s">
        <v>1091</v>
      </c>
      <c r="AI80" s="88" t="n">
        <f aca="false">458/1.2</f>
        <v>381.67</v>
      </c>
      <c r="AJ80" s="89" t="n">
        <f aca="false">AI80*D80</f>
        <v>7633.4</v>
      </c>
      <c r="AK80" s="91" t="n">
        <f aca="false">AVERAGE(AC80,AF80,AI80)</f>
        <v>381.95</v>
      </c>
      <c r="AL80" s="91" t="n">
        <f aca="false">((E80-AK80)/AK80)*100</f>
        <v>-29.31</v>
      </c>
      <c r="AM80" s="92" t="n">
        <f aca="false">AK80/1.2</f>
        <v>318.29</v>
      </c>
      <c r="AN80" s="92" t="n">
        <f aca="false">AK80*1.2</f>
        <v>458.34</v>
      </c>
      <c r="AO80" s="86" t="n">
        <f aca="false">AND((AC80)&gt;=MIN(AM80),(AC80)&lt;=MAX(AN80))</f>
        <v>1</v>
      </c>
      <c r="AP80" s="86" t="n">
        <f aca="false">AND((AF80)&gt;=MIN(AM80),(AF80)&lt;=MAX(AN80))</f>
        <v>1</v>
      </c>
      <c r="AQ80" s="86" t="n">
        <f aca="false">AND((AI80)&gt;=MIN(AM80),(AI80)&lt;=MAX(AN80))</f>
        <v>1</v>
      </c>
    </row>
    <row r="81" s="38" customFormat="true" ht="42.75" hidden="false" customHeight="true" outlineLevel="0" collapsed="false">
      <c r="A81" s="28" t="n">
        <v>71</v>
      </c>
      <c r="B81" s="57" t="s">
        <v>212</v>
      </c>
      <c r="C81" s="125" t="s">
        <v>143</v>
      </c>
      <c r="D81" s="125" t="n">
        <v>20</v>
      </c>
      <c r="E81" s="126" t="n">
        <f aca="false">AK81</f>
        <v>156.67</v>
      </c>
      <c r="F81" s="106" t="s">
        <v>213</v>
      </c>
      <c r="G81" s="34" t="n">
        <f aca="false">206/1.2</f>
        <v>171.67</v>
      </c>
      <c r="H81" s="34" t="n">
        <f aca="false">D81*G81</f>
        <v>3433.4</v>
      </c>
      <c r="I81" s="33" t="s">
        <v>214</v>
      </c>
      <c r="J81" s="34" t="n">
        <f aca="false">198/1.2</f>
        <v>165</v>
      </c>
      <c r="K81" s="34" t="n">
        <f aca="false">D81*J81</f>
        <v>3300</v>
      </c>
      <c r="L81" s="33" t="s">
        <v>215</v>
      </c>
      <c r="M81" s="34" t="n">
        <f aca="false">205/1.2</f>
        <v>170.83</v>
      </c>
      <c r="N81" s="34" t="n">
        <f aca="false">D81*M81</f>
        <v>3416.6</v>
      </c>
      <c r="O81" s="127" t="n">
        <f aca="false">AVERAGE(G81,J81,M81)</f>
        <v>169.17</v>
      </c>
      <c r="P81" s="36" t="n">
        <f aca="false">E81*100/O81-100</f>
        <v>-7.38901696518296</v>
      </c>
      <c r="Q81" s="127" t="n">
        <f aca="false">D81*E81</f>
        <v>3133.4</v>
      </c>
      <c r="R81" s="37"/>
      <c r="T81" s="39" t="n">
        <f aca="false">ROUND(G81*100/O81-100,0)</f>
        <v>1</v>
      </c>
      <c r="U81" s="39" t="n">
        <f aca="false">ROUND(J81*100/O81-100,0)</f>
        <v>-2</v>
      </c>
      <c r="V81" s="39" t="n">
        <f aca="false">ROUND(M81*100/O81-100,0)</f>
        <v>1</v>
      </c>
      <c r="W81" s="85" t="n">
        <f aca="false">O81/1.2</f>
        <v>140.98</v>
      </c>
      <c r="X81" s="85" t="n">
        <f aca="false">O81*1.2</f>
        <v>203</v>
      </c>
      <c r="Y81" s="86" t="n">
        <f aca="false">AND((G81)&gt;=MIN(W81),(G81)&lt;=MAX(X81))</f>
        <v>1</v>
      </c>
      <c r="Z81" s="86" t="n">
        <f aca="false">AND((J81)&gt;=MIN(W81),(J81)&lt;=MAX(X81))</f>
        <v>1</v>
      </c>
      <c r="AA81" s="86" t="n">
        <f aca="false">AND((M81)&gt;=MIN(W81),(M81)&lt;=MAX(X81))</f>
        <v>1</v>
      </c>
      <c r="AB81" s="95" t="s">
        <v>809</v>
      </c>
      <c r="AC81" s="88" t="n">
        <f aca="false">211/1.2</f>
        <v>175.83</v>
      </c>
      <c r="AD81" s="88" t="n">
        <f aca="false">AC81*D81</f>
        <v>3516.6</v>
      </c>
      <c r="AE81" s="95" t="s">
        <v>810</v>
      </c>
      <c r="AF81" s="88" t="n">
        <f aca="false">170/1.2</f>
        <v>141.67</v>
      </c>
      <c r="AG81" s="89" t="n">
        <f aca="false">AF81*D81</f>
        <v>2833.4</v>
      </c>
      <c r="AH81" s="95" t="s">
        <v>811</v>
      </c>
      <c r="AI81" s="88" t="n">
        <f aca="false">183/1.2</f>
        <v>152.5</v>
      </c>
      <c r="AJ81" s="89" t="n">
        <f aca="false">AI81*D81</f>
        <v>3050</v>
      </c>
      <c r="AK81" s="91" t="n">
        <f aca="false">AVERAGE(AC81,AF81,AI81)</f>
        <v>156.67</v>
      </c>
      <c r="AL81" s="91" t="n">
        <f aca="false">((E81-AK81)/AK81)*100</f>
        <v>0</v>
      </c>
      <c r="AM81" s="92" t="n">
        <f aca="false">AK81/1.2</f>
        <v>130.56</v>
      </c>
      <c r="AN81" s="92" t="n">
        <f aca="false">AK81*1.2</f>
        <v>188</v>
      </c>
      <c r="AO81" s="86" t="n">
        <f aca="false">AND((AC81)&gt;=MIN(AM81),(AC81)&lt;=MAX(AN81))</f>
        <v>1</v>
      </c>
      <c r="AP81" s="86" t="n">
        <f aca="false">AND((AF81)&gt;=MIN(AM81),(AF81)&lt;=MAX(AN81))</f>
        <v>1</v>
      </c>
      <c r="AQ81" s="86" t="n">
        <f aca="false">AND((AI81)&gt;=MIN(AM81),(AI81)&lt;=MAX(AN81))</f>
        <v>1</v>
      </c>
    </row>
    <row r="82" s="38" customFormat="true" ht="41.25" hidden="false" customHeight="true" outlineLevel="0" collapsed="false">
      <c r="A82" s="28" t="n">
        <v>72</v>
      </c>
      <c r="B82" s="57" t="s">
        <v>1092</v>
      </c>
      <c r="C82" s="125" t="s">
        <v>143</v>
      </c>
      <c r="D82" s="125" t="n">
        <v>80</v>
      </c>
      <c r="E82" s="126" t="n">
        <v>485.78</v>
      </c>
      <c r="F82" s="106" t="s">
        <v>938</v>
      </c>
      <c r="G82" s="34" t="n">
        <f aca="false">461/1.2</f>
        <v>384.17</v>
      </c>
      <c r="H82" s="34" t="n">
        <f aca="false">D82*G82</f>
        <v>30733.6</v>
      </c>
      <c r="I82" s="106" t="s">
        <v>939</v>
      </c>
      <c r="J82" s="34" t="n">
        <f aca="false">572.55/1.2</f>
        <v>477.13</v>
      </c>
      <c r="K82" s="34" t="n">
        <f aca="false">D82*J82</f>
        <v>38170.4</v>
      </c>
      <c r="L82" s="106" t="s">
        <v>940</v>
      </c>
      <c r="M82" s="34" t="n">
        <f aca="false">717.07/1.2</f>
        <v>597.56</v>
      </c>
      <c r="N82" s="34" t="n">
        <f aca="false">D82*M82</f>
        <v>47804.8</v>
      </c>
      <c r="O82" s="127" t="n">
        <f aca="false">AVERAGE(G82,J82,M82)</f>
        <v>486.29</v>
      </c>
      <c r="P82" s="36" t="n">
        <f aca="false">E82*100/O82-100</f>
        <v>-0.104875691459839</v>
      </c>
      <c r="Q82" s="127" t="n">
        <f aca="false">D82*E82</f>
        <v>38862.4</v>
      </c>
      <c r="R82" s="37"/>
      <c r="T82" s="39" t="n">
        <f aca="false">ROUND(G82*100/O82-100,0)</f>
        <v>-21</v>
      </c>
      <c r="U82" s="39" t="n">
        <f aca="false">ROUND(J82*100/O82-100,0)</f>
        <v>-2</v>
      </c>
      <c r="V82" s="39" t="n">
        <f aca="false">ROUND(M82*100/O82-100,0)</f>
        <v>23</v>
      </c>
      <c r="W82" s="85" t="n">
        <f aca="false">O82/1.2</f>
        <v>405.24</v>
      </c>
      <c r="X82" s="85" t="n">
        <f aca="false">O82*1.2</f>
        <v>583.55</v>
      </c>
      <c r="Y82" s="86" t="n">
        <f aca="false">AND((G82)&gt;=MIN(W82),(G82)&lt;=MAX(X82))</f>
        <v>0</v>
      </c>
      <c r="Z82" s="86" t="n">
        <f aca="false">AND((J82)&gt;=MIN(W82),(J82)&lt;=MAX(X82))</f>
        <v>1</v>
      </c>
      <c r="AA82" s="86" t="n">
        <f aca="false">AND((M82)&gt;=MIN(W82),(M82)&lt;=MAX(X82))</f>
        <v>0</v>
      </c>
      <c r="AB82" s="95" t="s">
        <v>938</v>
      </c>
      <c r="AC82" s="88" t="n">
        <f aca="false">487/1.2</f>
        <v>405.83</v>
      </c>
      <c r="AD82" s="88" t="n">
        <f aca="false">AC82*D82</f>
        <v>32466.4</v>
      </c>
      <c r="AE82" s="95" t="s">
        <v>939</v>
      </c>
      <c r="AF82" s="88" t="n">
        <f aca="false">572.55/1.2</f>
        <v>477.13</v>
      </c>
      <c r="AG82" s="89" t="n">
        <f aca="false">AF82*D82</f>
        <v>38170.4</v>
      </c>
      <c r="AH82" s="95" t="s">
        <v>940</v>
      </c>
      <c r="AI82" s="88" t="n">
        <f aca="false">689.26/1.2</f>
        <v>574.38</v>
      </c>
      <c r="AJ82" s="89" t="n">
        <f aca="false">AI82*D82</f>
        <v>45950.4</v>
      </c>
      <c r="AK82" s="91" t="n">
        <f aca="false">AVERAGE(AC82,AF82,AI82)</f>
        <v>485.78</v>
      </c>
      <c r="AL82" s="91" t="n">
        <f aca="false">((E82-AK82)/AK82)*100</f>
        <v>0</v>
      </c>
      <c r="AM82" s="92" t="n">
        <f aca="false">AK82/1.2</f>
        <v>404.82</v>
      </c>
      <c r="AN82" s="92" t="n">
        <f aca="false">AK82*1.2</f>
        <v>582.94</v>
      </c>
      <c r="AO82" s="86" t="n">
        <f aca="false">AND((AC82)&gt;=MIN(AM82),(AC82)&lt;=MAX(AN82))</f>
        <v>1</v>
      </c>
      <c r="AP82" s="86" t="n">
        <f aca="false">AND((AF82)&gt;=MIN(AM82),(AF82)&lt;=MAX(AN82))</f>
        <v>1</v>
      </c>
      <c r="AQ82" s="86" t="n">
        <f aca="false">AND((AI82)&gt;=MIN(AM82),(AI82)&lt;=MAX(AN82))</f>
        <v>1</v>
      </c>
    </row>
    <row r="83" s="71" customFormat="true" ht="25.5" hidden="false" customHeight="true" outlineLevel="0" collapsed="false">
      <c r="A83" s="153" t="s">
        <v>1093</v>
      </c>
      <c r="B83" s="153"/>
      <c r="C83" s="153"/>
      <c r="D83" s="153"/>
      <c r="E83" s="153"/>
      <c r="F83" s="153"/>
      <c r="G83" s="153"/>
      <c r="H83" s="153"/>
      <c r="I83" s="153"/>
      <c r="J83" s="153"/>
      <c r="K83" s="153"/>
      <c r="L83" s="153"/>
      <c r="M83" s="153"/>
      <c r="N83" s="153"/>
      <c r="O83" s="127"/>
      <c r="P83" s="36"/>
      <c r="Q83" s="35" t="n">
        <f aca="false">SUM(Q11:Q82)</f>
        <v>5810563.9</v>
      </c>
      <c r="R83" s="70"/>
    </row>
    <row r="84" s="8" customFormat="true" ht="33" hidden="false" customHeight="true" outlineLevel="0" collapsed="false">
      <c r="A84" s="72"/>
      <c r="B84" s="73"/>
      <c r="C84" s="73"/>
      <c r="D84" s="73"/>
      <c r="E84" s="73"/>
      <c r="F84" s="73"/>
      <c r="G84" s="73"/>
      <c r="H84" s="73"/>
      <c r="I84" s="74"/>
      <c r="J84" s="72"/>
      <c r="K84" s="72"/>
      <c r="L84" s="72"/>
      <c r="M84" s="72"/>
      <c r="N84" s="72"/>
      <c r="O84" s="72"/>
      <c r="P84" s="72"/>
      <c r="Q84" s="154"/>
      <c r="R84" s="72"/>
    </row>
    <row r="85" customFormat="false" ht="25.5" hidden="false" customHeight="true" outlineLevel="0" collapsed="false"/>
  </sheetData>
  <autoFilter ref="A9:AQ83"/>
  <mergeCells count="24">
    <mergeCell ref="O1:R1"/>
    <mergeCell ref="O2:R2"/>
    <mergeCell ref="A3:O3"/>
    <mergeCell ref="A5:P5"/>
    <mergeCell ref="A7:A9"/>
    <mergeCell ref="B7:B9"/>
    <mergeCell ref="C7:C9"/>
    <mergeCell ref="D7:D9"/>
    <mergeCell ref="E7:E9"/>
    <mergeCell ref="F7:H8"/>
    <mergeCell ref="I7:K8"/>
    <mergeCell ref="L7:N8"/>
    <mergeCell ref="O7:O9"/>
    <mergeCell ref="P7:P9"/>
    <mergeCell ref="Q7:Q9"/>
    <mergeCell ref="R7:R9"/>
    <mergeCell ref="T7:V8"/>
    <mergeCell ref="AB7:AD8"/>
    <mergeCell ref="AE7:AG8"/>
    <mergeCell ref="AH7:AJ8"/>
    <mergeCell ref="AK7:AK9"/>
    <mergeCell ref="AL7:AL9"/>
    <mergeCell ref="A83:N83"/>
    <mergeCell ref="B84:H84"/>
  </mergeCells>
  <conditionalFormatting sqref="AL72">
    <cfRule type="cellIs" priority="2" operator="equal" aboveAverage="0" equalAverage="0" bottom="0" percent="0" rank="0" text="" dxfId="30">
      <formula>0</formula>
    </cfRule>
    <cfRule type="cellIs" priority="3" operator="lessThan" aboveAverage="0" equalAverage="0" bottom="0" percent="0" rank="0" text="" dxfId="31">
      <formula>0</formula>
    </cfRule>
    <cfRule type="cellIs" priority="4" operator="greaterThan" aboveAverage="0" equalAverage="0" bottom="0" percent="0" rank="0" text="" dxfId="32">
      <formula>0</formula>
    </cfRule>
  </conditionalFormatting>
  <conditionalFormatting sqref="T72:V72">
    <cfRule type="expression" priority="5" aboveAverage="0" equalAverage="0" bottom="0" percent="0" rank="0" text="" dxfId="33">
      <formula>AND(T72&lt;-20,T72&lt;0)</formula>
    </cfRule>
    <cfRule type="expression" priority="6" aboveAverage="0" equalAverage="0" bottom="0" percent="0" rank="0" text="" dxfId="34">
      <formula>AND(T72&gt;20,T72&gt;0)</formula>
    </cfRule>
  </conditionalFormatting>
  <conditionalFormatting sqref="P72">
    <cfRule type="cellIs" priority="7" operator="greaterThan" aboveAverage="0" equalAverage="0" bottom="0" percent="0" rank="0" text="" dxfId="35">
      <formula>0</formula>
    </cfRule>
  </conditionalFormatting>
  <conditionalFormatting sqref="P49:P50">
    <cfRule type="cellIs" priority="8" operator="greaterThan" aboveAverage="0" equalAverage="0" bottom="0" percent="0" rank="0" text="" dxfId="36">
      <formula>0</formula>
    </cfRule>
  </conditionalFormatting>
  <conditionalFormatting sqref="AL7:AL9 AL11:AL71 AL73:AL82">
    <cfRule type="cellIs" priority="9" operator="equal" aboveAverage="0" equalAverage="0" bottom="0" percent="0" rank="0" text="" dxfId="37">
      <formula>0</formula>
    </cfRule>
    <cfRule type="cellIs" priority="10" operator="lessThan" aboveAverage="0" equalAverage="0" bottom="0" percent="0" rank="0" text="" dxfId="38">
      <formula>0</formula>
    </cfRule>
    <cfRule type="cellIs" priority="11" operator="greaterThan" aboveAverage="0" equalAverage="0" bottom="0" percent="0" rank="0" text="" dxfId="39">
      <formula>0</formula>
    </cfRule>
  </conditionalFormatting>
  <conditionalFormatting sqref="T11:V71 T73:V82">
    <cfRule type="expression" priority="12" aboveAverage="0" equalAverage="0" bottom="0" percent="0" rank="0" text="" dxfId="40">
      <formula>AND(T11&lt;-20,T11&lt;0)</formula>
    </cfRule>
    <cfRule type="expression" priority="13" aboveAverage="0" equalAverage="0" bottom="0" percent="0" rank="0" text="" dxfId="41">
      <formula>AND(T11&gt;20,T11&gt;0)</formula>
    </cfRule>
  </conditionalFormatting>
  <conditionalFormatting sqref="P11:P48 P51:P71 P73:P83">
    <cfRule type="cellIs" priority="14" operator="greaterThan" aboveAverage="0" equalAverage="0" bottom="0" percent="0" rank="0" text="" dxfId="42">
      <formula>0</formula>
    </cfRule>
  </conditionalFormatting>
  <hyperlinks>
    <hyperlink ref="I11" r:id="rId2" display="https://stavropol.leroymerlin.ru/product/germetik-abro-11-ab-ch-re-s-85-g-90715820/?ysclid=llnl6q54jw612658047&amp;fromRegion=34"/>
    <hyperlink ref="L11" r:id="rId3" display="https://new.optorg.ru/catalog/avtomobilnye_tovary_shiny/avtohimiya/germetiki_avtomobilnye/155763/?ysclid=llnks5ytfg726576769"/>
    <hyperlink ref="I12" r:id="rId4" display="https://avtoleon.com/catalog/avtoemali_i_raskhodnye_materialy/avtoemali/industrialnye_emali_ral/grunt_emal_3v1/ral_7040_grunt_emal_korroed_po_rzhavchine_okonnyy_seryy_0_9kg_mister_hardmax/"/>
    <hyperlink ref="L12" r:id="rId5" display="https://stavropol.vseinstrumenti.ru/product/grunt-emal-po-rzhavchine-hardmax-korroed-ral-7035-svetlo-seryj-banka-1-9-kg-1-sht-4690417071609-1853418/?ysclid=llum50i6g0715464475"/>
    <hyperlink ref="AE12" r:id="rId6" display="https://avtoleon.com/catalog/avtoemali_i_raskhodnye_materialy/avtoemali/industrialnye_emali_ral/grunt_emal_3v1/ral_7040_grunt_emal_korroed_po_rzhavchine_okonnyy_seryy_0_9kg_mister_hardmax/"/>
    <hyperlink ref="AH12" r:id="rId7" display="https://stavropol.vseinstrumenti.ru/product/grunt-emal-po-rzhavchine-hardmax-korroed-ral-7035-svetlo-seryj-banka-1-9-kg-1-sht-4690417071609-1853418/?ysclid=llum50i6g0715464475"/>
    <hyperlink ref="F13" r:id="rId8" display="https://avtomaster66.ru/catalog/grunty_1/grunt_emal_mister_hammer_hardmax_korroed_ral_5015_goluboy_po_rzhavchine_1l_0_9kg_kvil_/"/>
    <hyperlink ref="I13" r:id="rId9" display="https://www.chipdip.ru/product0/8008857921"/>
    <hyperlink ref="L13" r:id="rId10" location="searchQuery=Грунт-эмаль+по+ржавчине+HardMax+Корроед+RAL+5015+голубой&amp;searchType=srp" display="https://novorossiysk.vseinstrumenti.ru/product/grunt-emal-po-rzhavchine-hardmax-korroed-ral-5015-goluboj-banka-0-9-kg-1-sht-4690417077977-1853240/#searchQuery=Грунт-эмаль+по+ржавчине+HardMax+Корроед+RAL+5015+голубой&amp;searchType=srp"/>
    <hyperlink ref="AB13" r:id="rId11" display="https://mstroy.ru/catalog/lakokrasochnye_materialy/emali/emali_po_rzhavchine_kvil/grunt_emal_gladkaya/grunt_emal_gladkaya_korroed_po_rzhavchine_ral5005_siniy_1_9kg/?ysclid=lr95vr8m1h18883673"/>
    <hyperlink ref="AE13" r:id="rId12" display="https://ptcpro.ru/catalog/grunt_emal_po_rzhavchine/9278/?ysclid=lr95vcrrtb830438952"/>
    <hyperlink ref="AH13" r:id="rId13" display="https://tulasnab.ru/grunt-emal-korroed-mister-hardmax-ral-5005-sinij-po-rgavchine-19kg-kvil"/>
    <hyperlink ref="F14" r:id="rId14" display="https://www.chipdip.ru/product0/8018241708?ysclid=lnnc3szz4c293021830"/>
    <hyperlink ref="I14" r:id="rId15" display="https://avtomaster66.ru/catalog/grunty_1/grunt_emal_mister_hammer_hardmax_korroed_ral_3011_krasno_korichnevaya_po_rzhavchine_1l_0_9kg_kvil/?ysclid=lnnc6qp3ku546632107"/>
    <hyperlink ref="L14" r:id="rId16" location="searchQuery=Грунт-эмаль+по+ржавчине+HardMax+Корроед+красный&amp;searchType=srp" display="https://novorossiysk.vseinstrumenti.ru/product/grunt-emal-po-rzhavchine-hardmax-korroed-ral-3011-krasno-korichnevyj-banka-0-9-kg-1-sht-4690417071241-1853225/#searchQuery=Грунт-эмаль+по+ржавчине+HardMax+Корроед+красный&amp;searchType=srp"/>
    <hyperlink ref="AB14" r:id="rId17" display="https://ptcpro.ru/catalog/grunt_emal_po_rzhavchine/9277/?ysclid=lr974d4cvw826429706"/>
    <hyperlink ref="AE14" r:id="rId18" display="https://www.vseinstrumenti.ru/product/grunt-emal-po-rzhavchine-hardmax-korroed-ral-3011-krasno-korichnevyj-banka-1-9-kg-1-sht-4690417071258-1853226/?ysclid=lr970b2cvx643770471"/>
    <hyperlink ref="AH14" r:id="rId19" display="https://www.chipdip.ru/product0/8018241705"/>
    <hyperlink ref="F15" r:id="rId20" display="https://www.kirelis.ru/catalog/kolca/vtylki-myvp/id_30848/"/>
    <hyperlink ref="L15" r:id="rId21" display="https://antisplash.ru/koltso-uprugoe-muvp-k3-35kh18kh9kh4-5"/>
    <hyperlink ref="AB15" r:id="rId22" display="https://rezina74.ru/catalog/uplotnitelnyye-koltsa/koltsa-i-vtulki-muvp/103553/?ysclid=lr98kh57eb461942727"/>
    <hyperlink ref="AE15" r:id="rId23" display="https://antisplash.ru/koltso-uprugoe-muvp-k3-35kh18kh9kh4-5?yclid=4043379713605631999"/>
    <hyperlink ref="AH15" r:id="rId24" display="https://www.kirelis.ru/catalog/kolca/vtylki-myvp/id_30848/?ysclid=lr98k0o2hp926239490"/>
    <hyperlink ref="F16" r:id="rId25" display="https://www.techmarcet.ru/krany-sharovye/latunnye/kran-sharovyy-11b27p-RUS/"/>
    <hyperlink ref="I16" r:id="rId26" display="https://tehprommarket.com/product/кран-11б-27п-ду-15-газ/"/>
    <hyperlink ref="L16" r:id="rId27" display="https://gremir.ru/krany-sharovye/latunnye/11b27p1-muftovye/11b27p1-du-15/"/>
    <hyperlink ref="F17" r:id="rId28" display="https://teharmatura.ru/catalog/truboprovodnaya-armatura/krany/krany_latunnye/31473/"/>
    <hyperlink ref="I17" r:id="rId29" display="https://tehtepla.ru/catalog/krany/latunnye_krany/11620/"/>
    <hyperlink ref="L17" r:id="rId30" display="https://www.techmarcet.ru/krany-sharovye/latunnye/kran-sharovyy-11b27p-RUS/"/>
    <hyperlink ref="AE17" r:id="rId31" display="https://tula.elfgroup.ru/catalog/zapornaya-i-reguliruyushchaya-armutura/krany/krany-sharovye-latunnye/krany-analog-11b27p/kran-sharovoy-11b27p1-g-g-rychag-du25/"/>
    <hyperlink ref="AH17" r:id="rId32" display="https://dominant-perm.ru/katalog/krany/kran-sharovyj-muftovyj-11b27p1-nr-vr-du20-ru16"/>
    <hyperlink ref="AB18" r:id="rId33" display="https://stavropol.dn.ru/sharovyi-kran/teplosnabzhenie/rezbovye-kran/standartnyi/aquasfera/1019/dn15"/>
    <hyperlink ref="AE18" r:id="rId34" display="https://www.santech.ru/spb/catalog/317/329/i15230/v57475/"/>
    <hyperlink ref="AH18" r:id="rId35" display="https://teplosnab24.ru/truboprovodnaya-armatura/krany-sharovye/latunnye-sharovye-krany/kran-sharovoj-aquasfera-vodorazbornyj-latun-1019-du15-ru16-r-shtucz-rych-1019-01/?yandex_visit=1668415308865616927"/>
    <hyperlink ref="F19" r:id="rId36" display="https://mosopttorg.com/kran-sharovoy-vodorazbornyy-latun-so-shtucerom-1019-du-20-ru16-nr-g3-4-rychag-aquasfera-1019-02/"/>
    <hyperlink ref="I19" r:id="rId37" display="https://gremir.ru/krany-sharovye/latunnye/krany-aquasfera/krany-aquasfera-1019/rychag-20-3-4/"/>
    <hyperlink ref="L19" r:id="rId38" display="https://pkf-m.ru/kranyi-latunnyie-vodorazbornyie/304826/"/>
    <hyperlink ref="AH19" r:id="rId39" display="https://www.ozon.ru/product/kran-sharovoy-vodorazbornyy-du20-nr-rychag-aquasfera-1020621948/?utm_medium=organic&amp;utm_source=yandex_serp_products"/>
    <hyperlink ref="F20" r:id="rId40" display="https://www.metiz-dvor.ru/catalog/krug-lepestkovyi-tortsevoi-125kh22-r40-detail?ysclid=lozgr9n54p348715598"/>
    <hyperlink ref="I20" r:id="rId41" display="https://opttools.ru/catalog/elektroinstrument/prinadlezhnosti-k-elektroinstrumentam/lepestkovye-shlifovalnye-krugi/krug-lepestkovyy-tortsevoy-konicheskiy-r-40-125-kh-22-2-mm-sibrtekh-74083/?ysclid=lozgne801e667653234"/>
    <hyperlink ref="L20" r:id="rId42" display="https://stavropol.220-volt.ru/catalog-348307/"/>
    <hyperlink ref="AB20" r:id="rId43" display="https://snabinstrument.ru/catalog/abrazivnyy_instrument/izdeliya_iz_shlifshkurki/krugi_shlifovalnye/krugi_lepestkovye_tortsevye/krug_lepestkovyy_tortsevoy_klt2_125kh22_40n_r40_kk10khw_tu_3980_006_00223332_2006_baz/?ysclid=lra8ac92of558038666"/>
    <hyperlink ref="AE20" r:id="rId44" display="https://svarog-tk.ru/goods/abrasives/29/3321/?product=3321"/>
    <hyperlink ref="AH20" r:id="rId45" display="https://www.vseinstrumenti.ru/product/krug-lepestkovyj-tortsevoj-125x22-2-mm-p40-gigant-grf-40-1492522/?ysclid=lra88n68wk527561771"/>
    <hyperlink ref="F21" r:id="rId46" display="https://ru.lukoil-shop.com/catalog/legkovye_avtomobili/motornye_masla/maslo_motornoe_lukoyl_super_15w_40_sg_cd/?ysclid=lozhj2wyln789992910"/>
    <hyperlink ref="I21" r:id="rId47" display="https://www.vseinstrumenti.ru/product/motornoe-maslo-lukojl-avangard-sae-15w-40-api-cf-4-sg-5-l-19309-4825129/"/>
    <hyperlink ref="L21" r:id="rId48" display="https://baza.drom.ru/vladivostok/chemistry/motoroil/lukojl-avangard-ultra-m3-sae-15w40-api-ci-4-sl-105001880.html"/>
    <hyperlink ref="AB21" r:id="rId49" display="https://megamarket.ru/catalog/details/maslo-motornoe-lukoil-19195-100001150034/?ysclid=lra95z7lkr929975457"/>
    <hyperlink ref="AE21" r:id="rId50" display="https://www.vseinstrumenti.ru/product/motornoe-maslo-lukojl-super-sae-15w-40-api-sg-cd-4-l-19195-3059288/?ysclid=lra8x7rpr92387993"/>
    <hyperlink ref="AH21" r:id="rId51" display="https://ru.lukoil-shop.com/catalog/legkovye_avtomobili/motornye_masla/maslo_motornoe_lukoyl_super_15w_40_sg_cd/?ysclid=lra8x2yo4t690392950"/>
    <hyperlink ref="F22" r:id="rId52" display="https://shsl.ru/smesitel-dlya-vanny-s-dushem-psm-profsan-psm-150-k80-standart-b-tip-sm-vudrnshlr/?ysclid=loznv22ugh312817747"/>
    <hyperlink ref="I22" r:id="rId53" display="https://yaropt24.ru/product/smesitel-dlya-vanny-sm-vudrnshla-ks-63007263-rossiya-kazan-gost-25809-96/"/>
    <hyperlink ref="L22" r:id="rId54" display="https://www.vseinstrumenti.ru/product/smesitel-dlya-vanny-s-dushem-profsan-psm-tip-sm-vudrnshlr-psm-150-89-1651200/?ysclid=loznto0gsg531057395"/>
    <hyperlink ref="AB22" r:id="rId55" display="https://snabsan.ru/Smesitel_dlya_vanny_s_dushem_PSM-PROFSAN_PSM-150-K89_STANDART-B_tip_Sm-VUDRNShlr/?ysclid=lrabpxo517806531528"/>
    <hyperlink ref="AE22" r:id="rId56" display="https://shsl.ru/smesitel-dlya-vanny-s-dushem-psm-profsan-psm-150-k80-standart-b-tip-sm-vudrnshlr/?ysclid=lrabm7iupc681723541"/>
    <hyperlink ref="AH22" r:id="rId57" display="https://www.vseinstrumenti.ru/product/smesitel-dlya-vanny-s-dushem-profsan-psm-tip-sm-vudrnshlr-psm-150-89-1651200/?ysclid=lrabew9rrs543056329"/>
    <hyperlink ref="L23" r:id="rId58" display="https://www.vseinstrumenti.ru/product/smesitel-dlya-rakoviny-profsan-psm-tip-gost-sm-umotsba-psm-759-044-2191972/?ysclid=lrad3eadg2536433745"/>
    <hyperlink ref="AB23" r:id="rId59" display="https://shsl.ru/smesitel-dlya-rakoviny-psm-profsan-psm-740-008-plyus-tip-sm-umotsba/?ysclid=lrad4pfspa191109063"/>
    <hyperlink ref="AE23" r:id="rId60" display="https://market.yandex.ru/product--profsan-psm-smesitel-dlia-rakoviny-seriia-komplektatsiia-tip-gost-sm-umotsba-psm-104-5/1446274854?sku=101457051894&amp;do-waremd5=MN4R_cxAyC16qpqPK8PM2A&amp;uniqueId=923915"/>
    <hyperlink ref="AH23" r:id="rId61" display="https://www.vseinstrumenti.ru/product/smesitel-dlya-rakoviny-profsan-psm-tip-gost-sm-umotsba-psm-759-044-2191972/?ysclid=lrad3eadg2536433745"/>
    <hyperlink ref="F24" r:id="rId62" display="https://opensea.ru/compressor-a25067.htm?ysclid=lozru3t0d0163429978"/>
    <hyperlink ref="I24" r:id="rId63" display="https://stardive.ru/shop/detailed_layout/id/1094"/>
    <hyperlink ref="L24" r:id="rId64" display="https://shop-compressor.ru/shop/detailed_layout/id/2088"/>
    <hyperlink ref="AB24" r:id="rId65" display="https://shop-compressor.ru/shop/detailed_layout/id/2088"/>
    <hyperlink ref="AE24" r:id="rId66" display="https://opensea.ru/compressor-a25067.htm?ysclid=lozru3t0d0163429978"/>
    <hyperlink ref="AH24" r:id="rId67" display="https://stardive.ru/shop/detailed_layout/id/1094"/>
    <hyperlink ref="F25" r:id="rId68" display="https://scuba-shop.ru/shop/tov/2000/kartridzh-fil-tra-bauer-p41-co-067224.html"/>
    <hyperlink ref="I25" r:id="rId69" display="https://shop-compressor.ru/shop/detailed_layout/id/2087"/>
    <hyperlink ref="L25" r:id="rId70" display="https://stardive.ru/shop/detailed_layout/id/1093"/>
    <hyperlink ref="AB25" r:id="rId71" display="https://scuba-shop.ru/shop/tov/2000/kartridzh-fil-tra-bauer-p41-co-067224.html"/>
    <hyperlink ref="AE25" r:id="rId72" display="https://shop-compressor.ru/shop/detailed_layout/id/2087"/>
    <hyperlink ref="AH25" r:id="rId73" display="https://stardive.ru/shop/detailed_layout/id/1093"/>
    <hyperlink ref="F26" r:id="rId74" display="https://www.kirelis.ru/catalog/podshipniki/sharikovie-radialnie-otkrytie/id_51853/"/>
    <hyperlink ref="I26" r:id="rId75" display="https://autopiter.ru/cart"/>
    <hyperlink ref="L26" r:id="rId76" display="https://podshipnik-td.ru/catalog/bearrings/sharikovye/ballsinglerow/podshipnik-6308-308-skf/"/>
    <hyperlink ref="AB26" r:id="rId77" display="https://podshipnik-td.ru/catalog/bearrings/sharikovye/ballsinglerow/podshipnik-6308-308-skf/?ysclid=lryxqgmm3s806604113"/>
    <hyperlink ref="F27" r:id="rId78" display="https://www.kraska-ekb.ru/goods/81268106-grunt_emal_antikorroziynaya_dv_106"/>
    <hyperlink ref="I27" r:id="rId79" display="https://bizorg.su/grunt-emal-r/p27961380-gruntemal-po-rzhavchine-dv106-tsveto"/>
    <hyperlink ref="L27" r:id="rId80" display="https://krasnodar.pulscen.ru/products/grunt_emal_antikorroziynaya_dv_106_81268106"/>
    <hyperlink ref="AB27" r:id="rId81" display="https://bizorg.su/grunt-emal-r/p27961380-gruntemal-po-rzhavchine-dv106-tsveto"/>
    <hyperlink ref="AE27" r:id="rId82" display="https://www.kraska-ekb.ru/goods/81268106-grunt_emal_antikorroziynaya_dv_106"/>
    <hyperlink ref="AH27" r:id="rId83" display="https://krasnodar.pulscen.ru/products/grunt_emal_antikorroziynaya_dv_106_81268106"/>
    <hyperlink ref="F28" r:id="rId84" display="https://www.kraska-ekb.ru/goods/81268106-grunt_emal_antikorroziynaya_dv_106"/>
    <hyperlink ref="I28" r:id="rId85" display="https://bizorg.su/grunt-emal-r/p27961380-gruntemal-po-rzhavchine-dv106-tsveto"/>
    <hyperlink ref="L28" r:id="rId86" display="https://krasnodar.pulscen.ru/products/grunt_emal_antikorroziynaya_dv_106_81268106"/>
    <hyperlink ref="AB28" r:id="rId87" display="https://bizorg.su/grunt-emal-r/p27961380-gruntemal-po-rzhavchine-dv106-tsveto"/>
    <hyperlink ref="AE28" r:id="rId88" display="https://www.kraska-ekb.ru/goods/81268106-grunt_emal_antikorroziynaya_dv_107"/>
    <hyperlink ref="AH28" r:id="rId89" display="https://krasnodar.pulscen.ru/products/grunt_emal_antikorroziynaya_dv_106_81268107"/>
    <hyperlink ref="F29" r:id="rId90" display="https://asakashi.ru/parts/info/SAKURA/EF51040"/>
    <hyperlink ref="I29" r:id="rId91" display="https://4mycar.ru/parts/Sakura/EF51040"/>
    <hyperlink ref="L29" r:id="rId92" display="https://exist.ru/Price/?pid=8C409A44&amp;sr=119"/>
    <hyperlink ref="AB29" r:id="rId93" display="https://stalfilters.ru/filtr-toplivnyy-st20908-150-1r0793-26560163-ef51040-1r1803/?ysclid=lrak10zrwq777187621"/>
    <hyperlink ref="AE29" r:id="rId94" display="https://stal.market/filtr-toplivnyy-st20908-150-1r0793-26560163-ef51040-1r1803/?ysclid=lrajwv9zs3971250078"/>
    <hyperlink ref="AH29" r:id="rId95" display="https://mts124.ru/product/filtr-toplivnyy-st20908-1-50-1r0793-26560163-ef51040-1r1803-58172/"/>
    <hyperlink ref="F30" r:id="rId96" display="https://autopiter.ru/goods/ff167a/fleetguard/id21462321"/>
    <hyperlink ref="I30" r:id="rId97" display="https://maslomarket.com/catalog/filters/the-fuel-filters/filtr-toplivnyy-fleetguard-ff167a/"/>
    <hyperlink ref="L30" r:id="rId98" display="https://exist.ru/Price/?pid=27D005B4"/>
    <hyperlink ref="AB30" r:id="rId99" display="https://promintel.com/products/ff167a-filtr-kartridzh-toplivnyy-fleetguard?ysclid=lrakl1m7ml123791948"/>
    <hyperlink ref="AE30" r:id="rId100" display="https://euroauto.ru/firms/fleetguard/ff167a/?ysclid=lrakia4gtm380241399"/>
    <hyperlink ref="AH30" r:id="rId101" display="https://maslomarket.com/catalog/filters/the-fuel-filters/filtr-toplivnyy-fleetguard-ff167a/?ysclid=lrakdq5vt6532307090"/>
    <hyperlink ref="F31" r:id="rId102" display="https://ugk174.ru/catalog/filtry/filtr_toplivnyj_goodwill_fg1050eco_605013_ef_5102_26560201_sk3380/"/>
    <hyperlink ref="I31" r:id="rId103" display="https://gik43.ru/filtr-toplivnyy-goodwill-fg1050eco-605013-ef-5102-26560201-sk3380"/>
    <hyperlink ref="L31" r:id="rId104" display="https://baza.drom.ru/krasnoyarsk/sell_spare_parts/filtr-toplivnyj-fg1050eco-fg1050eco-g13022100678.html"/>
    <hyperlink ref="AB31" r:id="rId105" display="https://impart.online/catalog/fg1050eco-filtr-toplivnyy-goodwill-1qqxv1d/?ysclid=lral5t13gt289495644"/>
    <hyperlink ref="AE31" r:id="rId106" display="https://gik43.ru/filtr-toplivnyy-goodwill-fg1050eco-605013-ef-5102-26560201-sk3380"/>
    <hyperlink ref="AH31" r:id="rId107" display="https://ugk174.ru/catalog/filtry/filtr_toplivnyj_goodwill_fg1050eco_605013_ef_5102_26560201_sk3380/?ysclid=lrakro7vk4945263656"/>
    <hyperlink ref="F32" r:id="rId108" display="https://hyperauto.ru/product/antifriz-sintec-antifreeze-luxe-oat-g12-krasnyy-40-c-1kg-art-990550-301021405/"/>
    <hyperlink ref="I32" r:id="rId109" display="https://maslomart.com/catalog/antifriz_sintec_luxe_g_12_40_krasnyy_1kg/"/>
    <hyperlink ref="L32" r:id="rId110" display="https://www.autodoc.ru/man/7303/part/990550"/>
    <hyperlink ref="AB32" r:id="rId111" display="https://megamarket.ru/catalog/details/antifriz-sintec-krasno-oranzhevyy-gotovyy-antifriz-10kg-756665-100022894461/?ysclid=lramk3bn9y757071591"/>
    <hyperlink ref="AE32" r:id="rId112" display="https://www.wildberries.ru/catalog/102878995/detail.aspx"/>
    <hyperlink ref="AH32" r:id="rId113" display="https://optorg.ru/catalog/avtomobilnye_tovary_shiny/avtohimiya/antifrizy_tosoly/161247/"/>
    <hyperlink ref="F33" r:id="rId114" display="https://www.vseinstrumenti.ru/product/maslo-compressor-s-synth-100-1-l-gazpromneft-253721871-1175782/otzyvy/"/>
    <hyperlink ref="I33" r:id="rId115" display="https://amertend.ru/gazpromneft-compressor-s-synth-100"/>
    <hyperlink ref="L33" r:id="rId116" display="https://piteroils.ru/catalog/industrialnye_smazochnye_materialy/kompressornye/gazprom_neft_8/26841/"/>
    <hyperlink ref="AB33" r:id="rId117" display="https://megamarket.ru/catalog/details/maslo-kompressornoe-gazpromneft-compressor-s-synth-100-1l-253721871-600005570435/?ysclid=lrey40ntaq13979534"/>
    <hyperlink ref="AE33" r:id="rId118" display="https://www.vseinstrumenti.ru/product/maslo-compressor-s-synth-100-1-l-gazpromneft-253721871-1175782/?ysclid=lrey3ssap859720018"/>
    <hyperlink ref="AH33" r:id="rId119" display="https://leroymerlin.ru/product/maslo-dlya-kompressora-gazpromneft-compres-s-synth-100-1-l-82680707/?ysclid=lrey1wlua4125993148&amp;utm_referrer=https%3A%2F%2Fya.ru%2F"/>
    <hyperlink ref="F34" r:id="rId120" display="https://www.autoopt.ru/catalog/733654-maslo_kompressornoe_compressor_s_synth_150_205l180kg_gazpromneft"/>
    <hyperlink ref="I34" r:id="rId121" display="https://amertend.ru/gazpromneft-compressor-s-synth-150"/>
    <hyperlink ref="L34" r:id="rId122" display="https://vils.ru/catalog/kompressornye_masla/gazpromneft_compressor_s_synth_150/?offer=41867"/>
    <hyperlink ref="AB34" r:id="rId123" display="https://oil-store.ru/masla-i-smazki/industrialnye-masla/kompressornye-masla/kompressornoe-maslo-gazpromneft-compressor-s-synth-150-205l/"/>
    <hyperlink ref="AE34" r:id="rId124" display="https://market.yandex.ru/product--kompressornoe-maslo-gazpromneft-compressor-s-synth-150-205-l/1928907666?sku=101918768244&amp;do-waremd5=dT5LuY8jISq6tDkeg-YAvQ&amp;uniqueId=14123210"/>
    <hyperlink ref="AH34" r:id="rId125" display="https://www.autoopt.ru/catalog/733654-maslo_kompressornoe_compressor_s_synth_150_205l180kg_gazpromneft?ysclid=lreykdnxqu664170247"/>
    <hyperlink ref="F35" r:id="rId126" display="https://ru.lukoil-shop.com/catalog/kommercheskiy_transport/motornye_masla/maslo_motornoe_lukoyl_avangard_mineralnoe_15w_40_api_cf_4_sg/"/>
    <hyperlink ref="I35" r:id="rId127" display="https://baza.drom.ru/ekaterinburg/chemistry/motoroil/maslo-motornoe-lukoil-avangard-extra-15w-40-cg-4-e5-mineralnoe-5-l-dlja-kommerch-tehniki-lukoil-1552367-g12763204629.html"/>
    <hyperlink ref="L35" r:id="rId128" display="https://www.arsenal-msk.ru/catalog/dlya-kommercheskogo-transporta/lukoyl-avangard-15w-40/"/>
    <hyperlink ref="AB35" r:id="rId129" display="https://maslenych.ru/shop/avtomasla/motornye_masla/40044/"/>
    <hyperlink ref="AH35" r:id="rId130" display="https://ru.lukoil-shop.com/catalog/kommercheskiy_transport/motornye_masla/maslo_motornoe_lukoyl_avangard_mineralnoe_15w_40_api_cf_4_sg/?ysclid=lrezh29s5i793370538"/>
    <hyperlink ref="F36" r:id="rId131" display="https://piteroils.ru/catalog/gruzovye_masla/otechestvennye_1/lukoyl_1/polusinteticheskie_18/13191/"/>
    <hyperlink ref="I36" r:id="rId132" display=" https://www.vsemasla.com/lukojl-avangard-ul-tra-10w-40-ci-4-sl/"/>
    <hyperlink ref="L36" r:id="rId133" display="https://hyperauto.ru/product/maslo-motornoe-lukoyl-avantgarde-ultra-10w40-polusinteticheskoe-api-sl-ci-4-acea-e7-jaso-dh-1-dlya-dizelnogo-dvigatelya-5l-art-19518-000017864/"/>
    <hyperlink ref="AE36" r:id="rId134" display="https://oil-store.ru/masla-i-smazki/motornye-masla/gruzovoj-transport/motornoe-maslo-lukojl-avangard-ultra-10w-40-50l/"/>
    <hyperlink ref="AH36" r:id="rId135" display="https://b2b.lukoil-shop.ru/product/lukoil_avantgarde_ultra_10w_40/"/>
    <hyperlink ref="F37" r:id="rId136" display="https://zipzap24.ru/drives-and-timing/remen-ventilyatora-k-kt-2sht-belt-art-2614b655"/>
    <hyperlink ref="I37" r:id="rId137" display="https://www.hited-shop.ru/product/remen-ventilyatora-belt-art2614b655"/>
    <hyperlink ref="L37" r:id="rId138" display="https://dg-trade.ru/catalog/zapchasti-dlya-dvigateley/zapchasti-perkins/remen-sistemy-okhlazhdeniya-perkins-2614b655/"/>
    <hyperlink ref="AB37" r:id="rId139" display="https://impart.online/catalog/2614b655-remen-k-kt-iz-2kh-sht-perkins-lupsls/?ysclid=lrfxr1ngz376048122"/>
    <hyperlink ref="F38" r:id="rId140" display="https://www.autoopt.ru/catalog/911424-remen_privodnoj_klinovoj_13h1075_contitech"/>
    <hyperlink ref="I38" r:id="rId141" location="/basket" display="https://avto-sistem.ru/baskets#/basket"/>
    <hyperlink ref="L38" r:id="rId142" display="https://autocode.ru/price/Contitech/AVX13X1075"/>
    <hyperlink ref="F39" r:id="rId143" display="https://www.tss.ru/catalog/zapchasti/zapasnye_chasti_dlya_dizelnykh_dvigateley/dvigateli_perkins/zapchasti_dlya_perkins_404_d_22g_ad_16_m18/remen_privoda_generatora_998_378_10000_66575_fg_wilson_004160/"/>
    <hyperlink ref="I39" r:id="rId144" display="https://trustenergo.ru/catalog/zapasnye-chasti-dlya-dizelnykh-dvigateley/tss/remen-privoda-generatora-998-378-10000-66575-fg-wilson/"/>
    <hyperlink ref="L39" r:id="rId145" display="https://www.rekon-russia.ru/catalog/detail/remen_privoda_generatora_998_378_10000_66575_fg_wilson/"/>
    <hyperlink ref="AB39" r:id="rId146" display="https://tss52.com/catalog/zapchasti/dlya-dizelnykh-dvigateley/perkins-dizel/perkins-404-d-22g-ad-16-m18/remen-privoda-generatora-998-378-10000-66575-fg-wilson/?ysclid=lrfykes390518290689"/>
    <hyperlink ref="F40" r:id="rId147" display="https://ati-auto.ru/catalog/rubena/88675/"/>
    <hyperlink ref="I40" r:id="rId148" display=" https://gettzap.ru/cart"/>
    <hyperlink ref="L40" r:id="rId149" location="/basket" display="https://jetauto39.ru/baskets#/basket"/>
    <hyperlink ref="F41" r:id="rId150" display="http://www.stalenergo96.ru/goods/233601679-remen_zubchaty_klinovoy_avx13_1325_la"/>
    <hyperlink ref="I41" r:id="rId151" display="https://tnmk-tula.ru/remen-klinovoy-avx13-1325-la-zub-himpt?ysclid=ltcz8rry34603917778"/>
    <hyperlink ref="L41" r:id="rId152" display="https://cable.ru/belts/belts-remen_klinovoi_zubchatii_avx13_1325_la.php"/>
    <hyperlink ref="AB41" r:id="rId153" display="https://autopiter.ru/goods/avx131325/avtokomponent/id167171642?ysclid=ltczaz8sxs400466388"/>
    <hyperlink ref="AH41" r:id="rId154" display="https://tnmk-tula.ru/remen-klinovoy-avx13-1325-la-zub-himpt?ysclid=ltcz8rry34603917778"/>
    <hyperlink ref="F42" r:id="rId155" display="https://fg-wilson.ru/product/filtr-vozdushnyy-elementair-filter-element-art-10000-51238"/>
    <hyperlink ref="I42" r:id="rId156" display="https://emex.ru/basket"/>
    <hyperlink ref="F43" r:id="rId157" display="https://fg-wilson.ru/product/filtr-vozdushnyy-901-046-26510362-915-660-art-901-046"/>
    <hyperlink ref="I43" r:id="rId158" display="https://pecmall.ru/products/FG-WILSON/901046.html"/>
    <hyperlink ref="L43" r:id="rId159" display="https://agroserver.ru/b/filtr-vozdushnyy-fg-wilson-901-046-26510362-915-660-1539830.htm"/>
    <hyperlink ref="F44" r:id="rId160" display="https://autopiter.ru/cart"/>
    <hyperlink ref="I44" r:id="rId161" location="/basket" display="https://texnostimul.ru/baskets#/basket"/>
    <hyperlink ref="L44" r:id="rId162" location="/basket" display="https://arkopart.ru/baskets#/basket"/>
    <hyperlink ref="F45" r:id="rId163" display="https://autopiter.ru/goods/af25539/fleetguard/id21461873"/>
    <hyperlink ref="I45" r:id="rId164" display="https://baza.drom.ru/tyumen/sell_spare_parts/filtr-vozdushnyj-mtz-dv-lombardini-fleetguard-fleetguard-art-af25539-g14339684661.html"/>
    <hyperlink ref="L45" r:id="rId165" location="/basket" display="https://gmgauto.ru/baskets#/basket"/>
    <hyperlink ref="F46" r:id="rId166" display="https://motor-components.ru/catalog/filtruyushchie-ehlementy-fleetguard/lube_filter/filtr-maslyanyj-lf701-lf0070100/"/>
    <hyperlink ref="F47" r:id="rId167" display="https://sv62.ru/products/ABRO/SS2400REDAMRE.html"/>
    <hyperlink ref="F48" r:id="rId168" display="https://instrument-40.ru/transmissionnoe-maslo-vitex-tad-17-tm-5-18-10-l-v324805"/>
    <hyperlink ref="I48" r:id="rId169" display="https://yunimag.ru/goods/1401431-transmissionnoe-maslo-vitex-tad-17tm-5-18-v324805.html"/>
    <hyperlink ref="L48" r:id="rId170" display="https://novorossiysk.vseinstrumenti.ru/product/transmissionnoe-maslo-vitex-tad-17-tm-5-18-10-l-v324805-1582198/?ysclid=lnn32euvjo575984245"/>
    <hyperlink ref="F49" r:id="rId171" display="https://smetiz.ru/tovary/gajki/gost-5915-70-d4-k5-mstal-pczink-h0-l0-ca2-akrupnyij-srossiya-117397/"/>
    <hyperlink ref="L49" r:id="rId172" display="https://kst21.ru/catalog/gayka_shestigrannaya_gost_5915_5927_din_934/gayka_m_4_otsink_kl_pr_8_0_din_934_gost_5915/"/>
    <hyperlink ref="I50" r:id="rId173" display="https://smetiz.ru/tovary/gajki/gost-5915-70-d5-k5-mstal-pbez-pokryitiya-h0-l0-ca2-akrupnyij-srossiya-121664/"/>
    <hyperlink ref="L50" r:id="rId174" display="https://www.mtk-fortuna.ru/listdiams.aspx?gradeid=1520"/>
    <hyperlink ref="F51" r:id="rId175" display="https://santreyd.ru/product/85272206-klej-germetik-montazhnyj-gibridnyj-polimer-280-ml-belyj-stlm-0060705-axton/"/>
    <hyperlink ref="I51" r:id="rId176" display="https://msk.blizko.ru/products/488731964-germetik_universalny_silikonovy_axton_280_ml_bestsvetny_neytralny_none"/>
    <hyperlink ref="F52" r:id="rId177" display="https://shop220.ru/b0022977-kley-moment-montazh-polimernyy-kley-025-l.htm"/>
    <hyperlink ref="I52" r:id="rId178" display="https://rezar.ru/catalog/kley-polimernyy-moment-montazh-0-25-l/"/>
    <hyperlink ref="L52" r:id="rId179" display="https://tula.lustrof.ru/polimernyj-klej-moment-montazh-0-25-l-28-1400-1897367-/"/>
    <hyperlink ref="AE52" r:id="rId180" display="https://tula.lustrof.ru/polimernyj-klej-moment-montazh-0-25-l-28-1400-1897367-/"/>
    <hyperlink ref="F53" r:id="rId181" display="https://kraski-dl.ru/product/kraska-nerzhamet-ral-1028-zhyoltaya-dynya-antiko/"/>
    <hyperlink ref="I53" r:id="rId182" display="https://wooood.ru/catalog/emal/kraska_po_metallu_antikorrozionnaya_nerzhamet_10_kg/?oid=7108"/>
    <hyperlink ref="L53" r:id="rId183" display="https://www.krasko.ru/catalog/metal/enamel/1/"/>
    <hyperlink ref="AE53" r:id="rId184" display="https://spb-orion.ru/product/nerzhamet/?ysclid=lrg7w91j5z245218018"/>
    <hyperlink ref="AH53" r:id="rId185" display="https://kraski-dl.ru/product/kraska-nerzhamet-ral-1028-zhyoltaya-dynya-antiko/"/>
    <hyperlink ref="F54" r:id="rId186" display="https://kraski-dl.ru/product/kraska-nerzhamet-ral-6020-zelenyj-hrom-antikorrozionnaya-poluglyanczevaya-dlya-metalla-krasko/"/>
    <hyperlink ref="I54" r:id="rId187" display="https://stavropol.krasko.ru/catalog/metal/enamel/1/"/>
    <hyperlink ref="AE54" r:id="rId188" display="https://spb-orion.ru/product/nerzhamet/?ysclid=lrg7w91j5z245218018"/>
    <hyperlink ref="AH54" r:id="rId189" display="https://kraski-dl.ru/product/kraska-nerzhamet-ral-6029-zelenaya-myata-antikorrozionnaya-poluglyanczevaya-dlya-metalla-krasko/"/>
    <hyperlink ref="F55" r:id="rId190" display="https://kraski-dl.ru/product/kraska-nerzhamet-ral-3001-signalnyj-krasnyj/"/>
    <hyperlink ref="I55" r:id="rId191" display="https://www.krasko.ru/catalog/metal/enamel/1/"/>
    <hyperlink ref="L55" r:id="rId192" display="https://promsnab.me/catalog/lakokrasochnye_materialy/grunt_emal/nerzhamet/"/>
    <hyperlink ref="AE55" r:id="rId193" display="https://spb-orion.ru/product/nerzhamet/?ysclid=lrg7w91j5z245218018"/>
    <hyperlink ref="AH55" r:id="rId194" display="https://kraski-dl.ru/product/kraska-nerzhamet-ral-3020-transportnyj-krasn/"/>
    <hyperlink ref="F56" r:id="rId195" display="https://postroyka-nv.ru/catalog/show/Emal_NERZHAMETRAL7040seryj20kg"/>
    <hyperlink ref="I56" r:id="rId196" display="https://www.krasko.ru/catalog/metal/enamel/1/"/>
    <hyperlink ref="L56" r:id="rId197" display="https://ekb.pulscen.ru/products/grunt_emal_nerzhamet_49323632"/>
    <hyperlink ref="AE56" r:id="rId198" display="https://spb-orion.ru/product/nerzhamet/?ysclid=lrg7w91j5z245218018"/>
    <hyperlink ref="F57" r:id="rId199" display="https://kudo-trade.ru/p/emal-alkidnaya-universalnaya-520-ml-aerozol-kudo-ral7032-seraya-galka-ku-07032"/>
    <hyperlink ref="F58" r:id="rId200" display="https://www.krasko.ru/catalog/metal/enamel/1/"/>
    <hyperlink ref="I58" r:id="rId201" display="https://kraski-dl.ru/product/kraska-nerzhamet-ral-9017-chyornyj-transportny/"/>
    <hyperlink ref="L58" r:id="rId202" display="https://postroyka-nv.ru/catalog/show/Emal_NERZHAMETRAL9005chernyj20kg"/>
    <hyperlink ref="F59" r:id="rId203" display="https://electrovent.ru/elektrotehnicheskie-tovary/lampy/energosberegayuschie-lampy/energosberegayuschaya-lampa-philips-softone-esaver-11w-827-e27-230-240v-t60/"/>
    <hyperlink ref="I59" r:id="rId204" display="https://ledgoods.ru/osveshchenie/lamps/lampy-ehnergosberegayushchie-kll/lampa-lyuminescentnaya-kll-genie-es-11w-ww-e27-220-240v-1pf-6-871150080119710-ph80119710-philips/"/>
    <hyperlink ref="L59" r:id="rId205" display="https://www.smartlamps.ru/products/softone-esaver-11w-827-e27-230-240v-t60-d60x114-philips-lampa"/>
    <hyperlink ref="F60" r:id="rId206" display="https://www.chipdip.ru/product0/8173557661?ysclid=lnnduye3ft880435890"/>
    <hyperlink ref="I60" r:id="rId207" display="https://rs24.ru/product/165966"/>
    <hyperlink ref="L60" r:id="rId208" display="https://www.etm.ru/cat/nn/1811446?ysclid=lnndurbfbl890260666&amp;city=77"/>
    <hyperlink ref="F61" r:id="rId209" display="https://www.etm.ru/cat/nn/9053610?city=77"/>
    <hyperlink ref="I61" r:id="rId210" display="https://electro-materiali.ru/catalog/lampy-istochniki-sveta/lampy-luminestsentnye/lampy-kompaktnye-lyuministsentnye-i-lyuministsentnye-uniel/102649/"/>
    <hyperlink ref="L61" r:id="rId211" display="https://elkon.su/lampa-energosberegayushchaya-kll-45-842-e27-d64x157-spiral-kosmos/"/>
    <hyperlink ref="F62" r:id="rId212" display="https://stavropol.pulscen.ru/products/labomid_203_fasovka_35_kg_59604586"/>
    <hyperlink ref="I62" r:id="rId213" display="https://www.aquateka.ru/?cat=products&amp;prod=tehnicheskoe-moyushee-sredstvo-labomid-203-40-kg-650040"/>
    <hyperlink ref="L62" r:id="rId214" display="https://www.td-polimer54.ru/goods/84558460-labomid_203"/>
    <hyperlink ref="AB62" r:id="rId215" display="https://himreactiv.ru/catalog/khimreaktivy_1/khimicheskie_reaktivy_osch_khch_chda_tekhnicheskie/_203_40_2381_005_10417155_2004/?ysclid=lsvqvgnglz766710256"/>
    <hyperlink ref="AE62" r:id="rId216" display="https://lenreactiv.ru/shop/himicheskaya/tehnicheskaya_himiya/113022/?ysclid=lsvqrnw35j92629906"/>
    <hyperlink ref="F63" r:id="rId217" display="https://www.vseinstrumenti.ru/product/montazhnyj-klej-ceresit-cb-10-1864068-3014720/"/>
    <hyperlink ref="I63" r:id="rId218" display="https://ts-krovizol.ru/catalog/product/akrilovyy-montazhnyy-kley-ceresit-cb-10-400-gr/"/>
    <hyperlink ref="L63" r:id="rId219" display="https://www.stroyshopper.ru/product/klej_montazhnyj_akrilovyj_ceresit_cb_10/"/>
    <hyperlink ref="I64" r:id="rId220" display="https://profiplitka.ru/product/ceresit-cn-76-vysokoprochnaja-samovyravnivajuschajasja-tsementnaja-smes-ot-4-do-15-50-mm-25-kg/"/>
    <hyperlink ref="L64" r:id="rId221" display="https://ts-krovizol.ru/catalog/product/samovyravnivayushchayasya-tsementnaya-smes-ceresit-cn-76-25-kg/?utm_source=stroyportal&amp;utm_medium=tag&amp;utm_campaign=moskva&amp;utm_term=1584431348722160720&amp;utm_content=24525&amp;strprtl=8fec4d06960f903a983c8359bb307ba9"/>
    <hyperlink ref="F65" r:id="rId222" display="https://www.vseinstrumenti.ru/product/universalnyj-germetik-ceresit-cs-24-prozrachnyj-2005218-2392744/?ysclid=lrggpjlsko620944375"/>
    <hyperlink ref="I65" r:id="rId223" display="https://ceresitshop.ru/catalog/penyi-germetiki-klei/germetiki/ceresit-cs-24?ysclid=lrggqzeysl365402111"/>
    <hyperlink ref="AB65" r:id="rId224" display="https://www.vseinstrumenti.ru/product/universalnyj-germetik-ceresit-cs-24-prozrachnyj-2005218-2392744/?ysclid=lrggpjlsko620944375"/>
    <hyperlink ref="F66" r:id="rId225" display="https://ceresit-russia.ru/ceresit-ct29-fasovka-25-kg/"/>
    <hyperlink ref="I66" r:id="rId226" display="https://rdstroy.ru/catalog/shpatlevki_tsementnye/ct_225_25_shpatlyevka_fasad_finish_belaya_48_sht_pod_ceresit/"/>
    <hyperlink ref="L66" r:id="rId227" display="https://alea.shop/shpaklevka-cementnaya-belaya-ceresit-st-225-25-kg/"/>
    <hyperlink ref="F67" r:id="rId228" display="https://stavropol.leroymerlin.ru/product/shtukaturka-cementnaya-cerezit-ct29-i-remontnaya-shpaklevka-25-kg-12757860/?ysclid=lrghka40lq578067494&amp;fromRegion=34"/>
    <hyperlink ref="I67" r:id="rId229" display="https://megamarket.ru/catalog/details/shtukaturka-i-remontnaya-shpaklevka-ct-29-25-kg-ceresit-600004815820/?ysclid=lrghlhaacy675778105"/>
    <hyperlink ref="L67" r:id="rId230" display="https://ceresit-russia.ru/ceresit-ct29-fasovka-25-kg/"/>
    <hyperlink ref="F68" r:id="rId231" display="https://stavropol.leroymerlin.ru/product/kley-dlya-plitki-i-keramogranita-cerezit-cm-14-extra-25-kg-82040394/?ysclid=lrghtm2zpp77919402&amp;fromRegion=34"/>
    <hyperlink ref="AB68" r:id="rId232" display="https://stavropol.leroymerlin.ru/product/kley-dlya-plitki-i-keramogranita-cerezit-cm-14-extra-25-kg-82040394/?ysclid=lrghtm2zpp77919402&amp;fromRegion=34"/>
    <hyperlink ref="F69" r:id="rId233" display="https://kraskivmoskve.ru/product/ceresit-ts-62tserezit-ts-62-universalnaya-montazhnaya-pena"/>
    <hyperlink ref="I69" r:id="rId234" display="https://ceresitshop.ru/catalog/penyi-germetiki-klei/penyi/ceresit-ts-62"/>
    <hyperlink ref="L69" r:id="rId235" display="https://www-fasad.ru/pena-montazhnaya-ceresit-ts-62-universalnaya-750-ml/"/>
    <hyperlink ref="F71" r:id="rId236" display="https://b-a-v.ru/catalog/ZY-Q9855/?ysclid=lrhmaljvis741090532"/>
    <hyperlink ref="I71" r:id="rId237" display="https://www.chipdip.ru/product0/8018241711"/>
    <hyperlink ref="F76" r:id="rId238" display="https://rs24.ru/product/1713543"/>
    <hyperlink ref="F78" r:id="rId239" display="https://tyumenpak.ru/catalog/musornye-meshki/40003/"/>
    <hyperlink ref="I78" r:id="rId240" display="https://shop.centrpak.com/product/meshok-d-mus-30l-30sht-rul-chernye-5060sm-pnd-romashka-70/"/>
    <hyperlink ref="F80" r:id="rId241" display="https://gofraflex.ru/katalog/gibkaya-podvodka-iz-nerzhaveyushchej-stali/1-2-дюйма-gf15пр/гибкая-подводка-из-нержавеющей-стали-1-2-дюйма,-gf15-500пр-gofra.html"/>
    <hyperlink ref="I80" r:id="rId242" display="https://santreyd.ru/product/gibkaya-podvodka-iz-nerzhaveyushchey-stali-1-2-dyuyma-gf15-500pr-flexible-hose-rossiya/"/>
    <hyperlink ref="L80" r:id="rId243" display="https://aqua-flex.ru/catalog/gibkie-podvodki-iz-nerzhaveyushhej-stali/podvodki-gajka-gajkagajka-shtuczer/gibkaya-podvodka-12-dyujma-nerzhaveyushhaya-stal-500-mm.html"/>
    <hyperlink ref="F81" r:id="rId244" display="https://knopka.org/catalog/kantselyarskie-tovary/pismennie-prinadlejnosti/markery/marker-kraska/marker-kraska_58073.html?ysclid=lnn3h6eba5631905189"/>
    <hyperlink ref="I81" r:id="rId245" display="https://kancnika.ru/catalog/pis-mennye-prinadlezhnosti/markery-flomastery/markery-spetsial-nye/Marker-kraska-BLACK-chernyy-4mm.html?ysclid=lnn3j2e0nt688273093"/>
    <hyperlink ref="AB81" r:id="rId246" display="https://www.officemag.ru/catalog/goods/151481/"/>
    <hyperlink ref="AE81" r:id="rId247" display="https://leroymerlin.ru/product/marker-kraska-munhwa-82386606/?ysclid=lreu2ptily276140315&amp;utm_referrer=https%3A%2F%2Fya.ru%2F"/>
    <hyperlink ref="AH81" r:id="rId248" display="https://stavropol.kuvalda.ru/catalog/7839/product-116121/?ysclid=lreu99hbxc361246411"/>
  </hyperlinks>
  <printOptions headings="false" gridLines="false" gridLinesSet="true" horizontalCentered="false" verticalCentered="false"/>
  <pageMargins left="0.25" right="0.25" top="0.75" bottom="0.75" header="0.511811023622047" footer="0.511811023622047"/>
  <pageSetup paperSize="9" scale="35" fitToWidth="1" fitToHeight="1" pageOrder="downThenOver" orientation="landscape" blackAndWhite="false" draft="false" cellComments="none" horizontalDpi="300" verticalDpi="300" copies="1"/>
  <headerFooter differentFirst="false" differentOddEven="false">
    <oddHeader/>
    <oddFooter/>
  </headerFooter>
  <colBreaks count="1" manualBreakCount="1">
    <brk id="17" man="true" max="65535" min="0"/>
  </colBreaks>
  <drawing r:id="rId249"/>
  <legacyDrawing r:id="rId25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W48"/>
  <sheetViews>
    <sheetView showFormulas="false" showGridLines="true" showRowColHeaders="true" showZeros="true" rightToLeft="false" tabSelected="true" showOutlineSymbols="true" defaultGridColor="true" view="pageBreakPreview" topLeftCell="A1" colorId="64" zoomScale="75" zoomScaleNormal="70" zoomScalePageLayoutView="75" workbookViewId="0">
      <pane xSplit="5" ySplit="0" topLeftCell="F1" activePane="topRight" state="frozen"/>
      <selection pane="topLeft" activeCell="A1" activeCellId="0" sqref="A1"/>
      <selection pane="topRight" activeCell="A8" activeCellId="0" sqref="A8"/>
    </sheetView>
  </sheetViews>
  <sheetFormatPr defaultColWidth="8.8046875" defaultRowHeight="12.8" zeroHeight="false" outlineLevelRow="0" outlineLevelCol="0"/>
  <cols>
    <col collapsed="false" customWidth="true" hidden="false" outlineLevel="0" max="2" min="2" style="1" width="52.94"/>
    <col collapsed="false" customWidth="true" hidden="false" outlineLevel="0" max="3" min="3" style="1" width="14.23"/>
    <col collapsed="false" customWidth="true" hidden="false" outlineLevel="0" max="4" min="4" style="1" width="20.51"/>
    <col collapsed="false" customWidth="true" hidden="false" outlineLevel="0" max="5" min="5" style="1" width="18.51"/>
  </cols>
  <sheetData>
    <row r="1" s="1" customFormat="true" ht="15.75" hidden="true" customHeight="true" outlineLevel="0" collapsed="false"/>
    <row r="2" s="1" customFormat="true" ht="32.25" hidden="true" customHeight="true" outlineLevel="0" collapsed="false"/>
    <row r="3" s="1" customFormat="true" ht="25.5" hidden="true" customHeight="true" outlineLevel="0" collapsed="false">
      <c r="B3" s="4"/>
      <c r="C3" s="4"/>
      <c r="D3" s="4"/>
      <c r="E3" s="4"/>
    </row>
    <row r="4" s="1" customFormat="true" ht="17.25" hidden="true" customHeight="true" outlineLevel="0" collapsed="false">
      <c r="B4" s="6"/>
      <c r="C4" s="6"/>
      <c r="D4" s="6"/>
      <c r="E4" s="6"/>
    </row>
    <row r="5" s="8" customFormat="true" ht="28.5" hidden="true" customHeight="true" outlineLevel="0" collapsed="false">
      <c r="B5" s="7"/>
      <c r="C5" s="7"/>
      <c r="D5" s="7"/>
      <c r="E5" s="7"/>
    </row>
    <row r="6" s="8" customFormat="true" ht="15.75" hidden="true" customHeight="true" outlineLevel="0" collapsed="false"/>
    <row r="7" s="8" customFormat="true" ht="40.75" hidden="false" customHeight="true" outlineLevel="0" collapsed="false">
      <c r="A7" s="155" t="s">
        <v>1094</v>
      </c>
      <c r="B7" s="155"/>
      <c r="C7" s="155"/>
      <c r="D7" s="155"/>
      <c r="E7" s="155"/>
    </row>
    <row r="8" s="8" customFormat="true" ht="58.5" hidden="false" customHeight="true" outlineLevel="0" collapsed="false">
      <c r="A8" s="155" t="s">
        <v>1095</v>
      </c>
      <c r="B8" s="155"/>
      <c r="C8" s="155"/>
      <c r="D8" s="155"/>
      <c r="E8" s="155"/>
    </row>
    <row r="9" s="159" customFormat="true" ht="15.75" hidden="false" customHeight="true" outlineLevel="0" collapsed="false">
      <c r="A9" s="156" t="s">
        <v>4</v>
      </c>
      <c r="B9" s="157" t="s">
        <v>5</v>
      </c>
      <c r="C9" s="156" t="s">
        <v>6</v>
      </c>
      <c r="D9" s="156" t="s">
        <v>7</v>
      </c>
      <c r="E9" s="158" t="s">
        <v>1096</v>
      </c>
    </row>
    <row r="10" s="159" customFormat="true" ht="15.75" hidden="false" customHeight="true" outlineLevel="0" collapsed="false">
      <c r="A10" s="156"/>
      <c r="B10" s="157"/>
      <c r="C10" s="157"/>
      <c r="D10" s="157"/>
      <c r="E10" s="158"/>
    </row>
    <row r="11" s="159" customFormat="true" ht="99" hidden="false" customHeight="true" outlineLevel="0" collapsed="false">
      <c r="A11" s="156"/>
      <c r="B11" s="157"/>
      <c r="C11" s="156"/>
      <c r="D11" s="156"/>
      <c r="E11" s="158"/>
    </row>
    <row r="12" s="161" customFormat="true" ht="15.75" hidden="false" customHeight="true" outlineLevel="0" collapsed="false">
      <c r="A12" s="160" t="n">
        <v>1</v>
      </c>
      <c r="B12" s="160" t="n">
        <v>2</v>
      </c>
      <c r="C12" s="160" t="n">
        <v>3</v>
      </c>
      <c r="D12" s="160" t="n">
        <v>4</v>
      </c>
      <c r="E12" s="160" t="n">
        <v>5</v>
      </c>
    </row>
    <row r="13" s="71" customFormat="true" ht="29.85" hidden="false" customHeight="true" outlineLevel="0" collapsed="false">
      <c r="A13" s="162" t="n">
        <v>1</v>
      </c>
      <c r="B13" s="163" t="s">
        <v>1097</v>
      </c>
      <c r="C13" s="164" t="s">
        <v>143</v>
      </c>
      <c r="D13" s="165" t="n">
        <v>50</v>
      </c>
      <c r="E13" s="166"/>
    </row>
    <row r="14" s="71" customFormat="true" ht="28.85" hidden="false" customHeight="true" outlineLevel="0" collapsed="false">
      <c r="A14" s="167" t="s">
        <v>1098</v>
      </c>
      <c r="B14" s="167"/>
      <c r="C14" s="167"/>
      <c r="D14" s="167"/>
      <c r="E14" s="167"/>
      <c r="F14" s="168"/>
      <c r="G14" s="168"/>
      <c r="H14" s="168"/>
      <c r="I14" s="168"/>
      <c r="J14" s="168"/>
      <c r="K14" s="168"/>
      <c r="L14" s="168"/>
      <c r="M14" s="168"/>
      <c r="N14" s="168"/>
      <c r="O14" s="168"/>
      <c r="P14" s="168"/>
      <c r="Q14" s="168"/>
      <c r="R14" s="168"/>
      <c r="S14" s="168"/>
      <c r="T14" s="168"/>
      <c r="U14" s="168"/>
      <c r="V14" s="168"/>
      <c r="W14" s="168"/>
      <c r="X14" s="168"/>
      <c r="Y14" s="168"/>
      <c r="Z14" s="168"/>
      <c r="AA14" s="168"/>
      <c r="AB14" s="168"/>
      <c r="AC14" s="168"/>
      <c r="AD14" s="168"/>
      <c r="AE14" s="168"/>
      <c r="AF14" s="168"/>
      <c r="AG14" s="168"/>
      <c r="AH14" s="168"/>
      <c r="AI14" s="168"/>
      <c r="AJ14" s="168"/>
      <c r="AK14" s="168"/>
      <c r="AL14" s="168"/>
      <c r="AM14" s="168"/>
      <c r="AN14" s="168"/>
      <c r="AO14" s="168"/>
      <c r="AP14" s="168"/>
      <c r="AQ14" s="168"/>
      <c r="AR14" s="168"/>
      <c r="AS14" s="168"/>
      <c r="AT14" s="168"/>
      <c r="AU14" s="168"/>
      <c r="AV14" s="168"/>
      <c r="AW14" s="168"/>
      <c r="AX14" s="168"/>
      <c r="AY14" s="168"/>
      <c r="AZ14" s="168"/>
      <c r="BA14" s="168"/>
      <c r="BB14" s="168"/>
      <c r="BC14" s="168"/>
      <c r="BD14" s="168"/>
      <c r="BE14" s="168"/>
      <c r="BF14" s="168"/>
      <c r="BG14" s="168"/>
      <c r="BH14" s="168"/>
      <c r="BI14" s="168"/>
      <c r="BJ14" s="168"/>
      <c r="BK14" s="168"/>
      <c r="BL14" s="168"/>
      <c r="BM14" s="168"/>
      <c r="BN14" s="168"/>
      <c r="BO14" s="168"/>
      <c r="BP14" s="168"/>
      <c r="BQ14" s="168"/>
      <c r="BR14" s="168"/>
      <c r="BS14" s="168"/>
      <c r="BT14" s="168"/>
      <c r="BU14" s="168"/>
      <c r="BV14" s="168"/>
      <c r="BW14" s="168"/>
      <c r="BX14" s="168"/>
      <c r="BY14" s="168"/>
      <c r="BZ14" s="168"/>
      <c r="CA14" s="168"/>
      <c r="CB14" s="168"/>
      <c r="CC14" s="168"/>
      <c r="CD14" s="168"/>
      <c r="CE14" s="168"/>
      <c r="CF14" s="168"/>
      <c r="CG14" s="168"/>
      <c r="CH14" s="168"/>
      <c r="CI14" s="168"/>
      <c r="CJ14" s="168"/>
      <c r="CK14" s="168"/>
      <c r="CL14" s="168"/>
      <c r="CM14" s="168"/>
      <c r="CN14" s="168"/>
      <c r="CO14" s="168"/>
      <c r="CP14" s="168"/>
      <c r="CQ14" s="168"/>
      <c r="CR14" s="168"/>
      <c r="CS14" s="168"/>
      <c r="CT14" s="168"/>
      <c r="CU14" s="168"/>
      <c r="CV14" s="168"/>
      <c r="CW14" s="168"/>
      <c r="CX14" s="168"/>
      <c r="CY14" s="168"/>
      <c r="CZ14" s="168"/>
      <c r="DA14" s="168"/>
      <c r="DB14" s="168"/>
      <c r="DC14" s="168"/>
      <c r="DD14" s="168"/>
      <c r="DE14" s="168"/>
      <c r="DF14" s="168"/>
      <c r="DG14" s="168"/>
      <c r="DH14" s="168"/>
      <c r="DI14" s="168"/>
      <c r="DJ14" s="168"/>
      <c r="DK14" s="168"/>
      <c r="DL14" s="168"/>
      <c r="DM14" s="168"/>
      <c r="DN14" s="168"/>
      <c r="DO14" s="168"/>
      <c r="DP14" s="168"/>
      <c r="DQ14" s="168"/>
      <c r="DR14" s="168"/>
      <c r="DS14" s="168"/>
      <c r="DT14" s="168"/>
      <c r="DU14" s="168"/>
      <c r="DV14" s="168"/>
      <c r="DW14" s="168"/>
      <c r="DX14" s="168"/>
      <c r="DY14" s="168"/>
      <c r="DZ14" s="168"/>
      <c r="EA14" s="168"/>
      <c r="EB14" s="168"/>
      <c r="EC14" s="168"/>
      <c r="ED14" s="168"/>
      <c r="EE14" s="168"/>
      <c r="EF14" s="168"/>
      <c r="EG14" s="168"/>
      <c r="EH14" s="168"/>
      <c r="EI14" s="168"/>
      <c r="EJ14" s="168"/>
      <c r="EK14" s="168"/>
      <c r="EL14" s="168"/>
      <c r="EM14" s="168"/>
      <c r="EN14" s="168"/>
      <c r="EO14" s="168"/>
      <c r="EP14" s="168"/>
      <c r="EQ14" s="168"/>
      <c r="ER14" s="168"/>
      <c r="ES14" s="168"/>
      <c r="ET14" s="168"/>
      <c r="EU14" s="168"/>
      <c r="EV14" s="168"/>
      <c r="EW14" s="168"/>
      <c r="EX14" s="168"/>
      <c r="EY14" s="168"/>
      <c r="EZ14" s="168"/>
      <c r="FA14" s="168"/>
      <c r="FB14" s="168"/>
      <c r="FC14" s="168"/>
      <c r="FD14" s="168"/>
      <c r="FE14" s="168"/>
      <c r="FF14" s="168"/>
      <c r="FG14" s="168"/>
      <c r="FH14" s="168"/>
      <c r="FI14" s="168"/>
      <c r="FJ14" s="168"/>
      <c r="FK14" s="168"/>
      <c r="FL14" s="168"/>
      <c r="FM14" s="168"/>
      <c r="FN14" s="168"/>
      <c r="FO14" s="168"/>
      <c r="FP14" s="168"/>
      <c r="FQ14" s="168"/>
      <c r="FR14" s="168"/>
      <c r="FS14" s="168"/>
      <c r="FT14" s="168"/>
      <c r="FU14" s="168"/>
      <c r="FV14" s="168"/>
      <c r="FW14" s="168"/>
      <c r="FX14" s="168"/>
      <c r="FY14" s="168"/>
      <c r="FZ14" s="168"/>
      <c r="GA14" s="168"/>
      <c r="GB14" s="168"/>
      <c r="GC14" s="168"/>
      <c r="GD14" s="168"/>
      <c r="GE14" s="168"/>
      <c r="GF14" s="168"/>
      <c r="GG14" s="168"/>
      <c r="GH14" s="168"/>
      <c r="GI14" s="168"/>
      <c r="GJ14" s="168"/>
      <c r="GK14" s="168"/>
      <c r="GL14" s="168"/>
      <c r="GM14" s="168"/>
      <c r="GN14" s="168"/>
      <c r="GO14" s="168"/>
      <c r="GP14" s="168"/>
      <c r="GQ14" s="168"/>
      <c r="GR14" s="168"/>
      <c r="GS14" s="168"/>
      <c r="GT14" s="168"/>
      <c r="GU14" s="168"/>
      <c r="GV14" s="168"/>
      <c r="GW14" s="168"/>
      <c r="GX14" s="168"/>
      <c r="GY14" s="168"/>
      <c r="GZ14" s="168"/>
      <c r="HA14" s="168"/>
      <c r="HB14" s="168"/>
      <c r="HC14" s="168"/>
      <c r="HD14" s="168"/>
      <c r="HE14" s="168"/>
      <c r="HF14" s="168"/>
      <c r="HG14" s="168"/>
      <c r="HH14" s="168"/>
      <c r="HI14" s="168"/>
      <c r="HJ14" s="168"/>
      <c r="HK14" s="168"/>
      <c r="HL14" s="168"/>
      <c r="HM14" s="168"/>
      <c r="HN14" s="168"/>
      <c r="HO14" s="168"/>
      <c r="HP14" s="168"/>
      <c r="HQ14" s="168"/>
      <c r="HR14" s="168"/>
      <c r="HS14" s="168"/>
      <c r="HT14" s="168"/>
      <c r="HU14" s="168"/>
      <c r="HV14" s="168"/>
      <c r="HW14" s="168"/>
      <c r="HX14" s="168"/>
      <c r="HY14" s="168"/>
      <c r="HZ14" s="168"/>
      <c r="IA14" s="168"/>
      <c r="IB14" s="168"/>
      <c r="IC14" s="168"/>
      <c r="ID14" s="168"/>
      <c r="IE14" s="168"/>
      <c r="IF14" s="168"/>
      <c r="IG14" s="168"/>
      <c r="IH14" s="168"/>
      <c r="II14" s="168"/>
      <c r="IJ14" s="168"/>
      <c r="IK14" s="168"/>
      <c r="IL14" s="168"/>
      <c r="IM14" s="168"/>
      <c r="IN14" s="168"/>
      <c r="IO14" s="168"/>
      <c r="IP14" s="168"/>
      <c r="IQ14" s="168"/>
      <c r="IR14" s="168"/>
      <c r="IS14" s="168"/>
      <c r="IT14" s="168"/>
      <c r="IU14" s="168"/>
      <c r="IV14" s="168"/>
      <c r="IW14" s="168"/>
    </row>
    <row r="15" s="71" customFormat="true" ht="12.8" hidden="false" customHeight="false" outlineLevel="0" collapsed="false">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row>
    <row r="16" s="71" customFormat="true" ht="12.8" hidden="false" customHeight="false" outlineLevel="0" collapsed="false">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row>
    <row r="17" s="71" customFormat="true" ht="12.8" hidden="false" customHeight="false" outlineLevel="0" collapsed="false">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row>
    <row r="18" s="71" customFormat="true" ht="12.8" hidden="false" customHeight="false" outlineLevel="0" collapsed="false">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row>
    <row r="19" s="71" customFormat="true" ht="12.8" hidden="false" customHeight="false" outlineLevel="0" collapsed="false">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row>
    <row r="20" s="71" customFormat="true" ht="12.8" hidden="false" customHeight="false" outlineLevel="0" collapsed="false">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row>
    <row r="21" s="71" customFormat="true" ht="12.8" hidden="false" customHeight="false" outlineLevel="0" collapsed="false">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row>
    <row r="22" s="71" customFormat="true" ht="12.8" hidden="false" customHeight="false" outlineLevel="0" collapsed="false">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row>
    <row r="23" s="71" customFormat="true" ht="12.8" hidden="false" customHeight="false" outlineLevel="0" collapsed="false">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row>
    <row r="24" s="71" customFormat="true" ht="12.8" hidden="false" customHeight="false" outlineLevel="0" collapsed="false">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row>
    <row r="25" s="71" customFormat="true" ht="12.8" hidden="false" customHeight="false" outlineLevel="0" collapsed="false">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row>
    <row r="26" s="71" customFormat="true" ht="12.8" hidden="false" customHeight="false" outlineLevel="0" collapsed="false">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row>
    <row r="27" s="71" customFormat="true" ht="12.8" hidden="false" customHeight="false" outlineLevel="0" collapsed="false">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row>
    <row r="28" s="71" customFormat="true" ht="12.8" hidden="false" customHeight="false" outlineLevel="0" collapsed="false">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row>
    <row r="29" s="71" customFormat="true" ht="12.8" hidden="false" customHeight="false" outlineLevel="0" collapsed="false">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row>
    <row r="30" s="71" customFormat="true" ht="12.8" hidden="false" customHeight="false" outlineLevel="0" collapsed="false">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row>
    <row r="31" s="71" customFormat="true" ht="12.8" hidden="false" customHeight="false" outlineLevel="0" collapsed="false">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row>
    <row r="32" s="71" customFormat="true" ht="12.8" hidden="false" customHeight="false" outlineLevel="0" collapsed="false">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row>
    <row r="33" s="71" customFormat="true" ht="12.8" hidden="false" customHeight="false" outlineLevel="0" collapsed="false">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row>
    <row r="34" s="71" customFormat="true" ht="12.8" hidden="false" customHeight="false" outlineLevel="0" collapsed="false">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row>
    <row r="35" s="71" customFormat="true" ht="12.8" hidden="false" customHeight="false" outlineLevel="0" collapsed="false">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row>
    <row r="36" s="71" customFormat="true" ht="12.8" hidden="false" customHeight="false" outlineLevel="0" collapsed="false">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row>
    <row r="37" s="71" customFormat="true" ht="12.8" hidden="false" customHeight="false" outlineLevel="0" collapsed="false">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row>
    <row r="38" s="71" customFormat="true" ht="12.8" hidden="false" customHeight="false" outlineLevel="0" collapsed="false">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row>
    <row r="39" s="71" customFormat="true" ht="12.8" hidden="false" customHeight="false" outlineLevel="0" collapsed="false">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row>
    <row r="40" s="71" customFormat="true" ht="12.8" hidden="false" customHeight="false" outlineLevel="0" collapsed="false">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row>
    <row r="41" s="71" customFormat="true" ht="12.8" hidden="false" customHeight="false" outlineLevel="0" collapsed="false">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row>
    <row r="42" s="71" customFormat="true" ht="12.8" hidden="false" customHeight="false" outlineLevel="0" collapsed="false">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row>
    <row r="43" s="71" customFormat="true" ht="12.8" hidden="false" customHeight="false" outlineLevel="0" collapsed="false">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row>
    <row r="44" s="71" customFormat="true" ht="12.8" hidden="false" customHeight="false" outlineLevel="0" collapsed="false">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row>
    <row r="45" s="71" customFormat="true" ht="12.8" hidden="false" customHeight="false" outlineLevel="0" collapsed="false">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row>
    <row r="46" s="71" customFormat="true" ht="12.8" hidden="false" customHeight="false" outlineLevel="0" collapsed="false">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row>
    <row r="47" s="71" customFormat="true" ht="12.8" hidden="false" customHeight="false" outlineLevel="0" collapsed="false">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row>
    <row r="48" s="71" customFormat="true" ht="12.8" hidden="false" customHeight="false" outlineLevel="0" collapsed="false">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row>
  </sheetData>
  <autoFilter ref="A12:E14"/>
  <mergeCells count="8">
    <mergeCell ref="A7:E7"/>
    <mergeCell ref="A8:E8"/>
    <mergeCell ref="A9:A11"/>
    <mergeCell ref="B9:B11"/>
    <mergeCell ref="C9:C11"/>
    <mergeCell ref="D9:D11"/>
    <mergeCell ref="E9:E11"/>
    <mergeCell ref="A14:E14"/>
  </mergeCells>
  <printOptions headings="false" gridLines="false" gridLinesSet="true" horizontalCentered="false" verticalCentered="false"/>
  <pageMargins left="0.25" right="0.25" top="0.75" bottom="0.75" header="0.511811023622047" footer="0.511811023622047"/>
  <pageSetup paperSize="9" scale="33"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W35"/>
  <sheetViews>
    <sheetView showFormulas="false" showGridLines="true" showRowColHeaders="true" showZeros="true" rightToLeft="false" tabSelected="false" showOutlineSymbols="true" defaultGridColor="true" view="pageBreakPreview" topLeftCell="A1" colorId="64" zoomScale="75" zoomScaleNormal="70" zoomScalePageLayoutView="75" workbookViewId="0">
      <pane xSplit="5" ySplit="10" topLeftCell="F26" activePane="bottomRight" state="frozen"/>
      <selection pane="topLeft" activeCell="A1" activeCellId="0" sqref="A1"/>
      <selection pane="topRight" activeCell="F1" activeCellId="0" sqref="F1"/>
      <selection pane="bottomLeft" activeCell="A26" activeCellId="0" sqref="A26"/>
      <selection pane="bottomRight" activeCell="Q31" activeCellId="0" sqref="Q31"/>
    </sheetView>
  </sheetViews>
  <sheetFormatPr defaultColWidth="8.8046875" defaultRowHeight="12.8" zeroHeight="false" outlineLevelRow="0" outlineLevelCol="0"/>
  <cols>
    <col collapsed="false" customWidth="true" hidden="false" outlineLevel="0" max="1" min="1" style="1" width="9.52"/>
    <col collapsed="false" customWidth="true" hidden="false" outlineLevel="0" max="2" min="2" style="1" width="49.51"/>
    <col collapsed="false" customWidth="true" hidden="false" outlineLevel="0" max="3" min="3" style="1" width="14.23"/>
    <col collapsed="false" customWidth="true" hidden="false" outlineLevel="0" max="4" min="4" style="1" width="20.51"/>
    <col collapsed="false" customWidth="true" hidden="false" outlineLevel="0" max="5" min="5" style="1" width="15.95"/>
    <col collapsed="false" customWidth="true" hidden="false" outlineLevel="0" max="6" min="6" style="1" width="28.8"/>
    <col collapsed="false" customWidth="true" hidden="false" outlineLevel="0" max="7" min="7" style="1" width="23.37"/>
    <col collapsed="false" customWidth="true" hidden="false" outlineLevel="0" max="8" min="8" style="1" width="26.09"/>
    <col collapsed="false" customWidth="true" hidden="false" outlineLevel="0" max="9" min="9" style="1" width="28.09"/>
    <col collapsed="false" customWidth="true" hidden="false" outlineLevel="0" max="10" min="10" style="1" width="27.23"/>
    <col collapsed="false" customWidth="true" hidden="false" outlineLevel="0" max="11" min="11" style="1" width="21.23"/>
    <col collapsed="false" customWidth="true" hidden="false" outlineLevel="0" max="12" min="12" style="1" width="28.94"/>
    <col collapsed="false" customWidth="true" hidden="false" outlineLevel="0" max="13" min="13" style="1" width="27.51"/>
    <col collapsed="false" customWidth="true" hidden="false" outlineLevel="0" max="14" min="14" style="1" width="26.37"/>
    <col collapsed="false" customWidth="true" hidden="false" outlineLevel="0" max="15" min="15" style="1" width="25.51"/>
    <col collapsed="false" customWidth="true" hidden="true" outlineLevel="0" max="16" min="16" style="1" width="23.37"/>
    <col collapsed="false" customWidth="true" hidden="false" outlineLevel="0" max="18" min="17" style="1" width="23.37"/>
    <col collapsed="false" customWidth="true" hidden="true" outlineLevel="0" max="19" min="19" style="1" width="40.66"/>
    <col collapsed="false" customWidth="false" hidden="true" outlineLevel="0" max="20" min="20" style="1" width="8.8"/>
    <col collapsed="false" customWidth="true" hidden="false" outlineLevel="0" max="23" min="21" style="1" width="12.95"/>
    <col collapsed="false" customWidth="true" hidden="true" outlineLevel="0" max="25" min="24" style="1" width="10.8"/>
    <col collapsed="false" customWidth="true" hidden="true" outlineLevel="0" max="28" min="26" style="1" width="13.09"/>
  </cols>
  <sheetData>
    <row r="1" customFormat="false" ht="15" hidden="true" customHeight="true" outlineLevel="0" collapsed="false">
      <c r="A1" s="169"/>
      <c r="B1" s="170"/>
      <c r="C1" s="170"/>
      <c r="D1" s="170"/>
      <c r="E1" s="170"/>
      <c r="F1" s="170"/>
      <c r="G1" s="170"/>
      <c r="H1" s="170"/>
      <c r="I1" s="170"/>
      <c r="J1" s="170"/>
      <c r="K1" s="170"/>
      <c r="L1" s="170"/>
      <c r="M1" s="170"/>
      <c r="N1" s="170"/>
      <c r="O1" s="171" t="s">
        <v>0</v>
      </c>
      <c r="P1" s="171"/>
      <c r="Q1" s="171"/>
      <c r="R1" s="171"/>
      <c r="S1" s="171"/>
      <c r="T1" s="170"/>
      <c r="U1" s="170"/>
      <c r="V1" s="170"/>
      <c r="W1" s="170"/>
      <c r="X1" s="170"/>
      <c r="Y1" s="170"/>
      <c r="Z1" s="170"/>
      <c r="AA1" s="170"/>
      <c r="AB1" s="170"/>
      <c r="AC1" s="170"/>
      <c r="AD1" s="170"/>
      <c r="AE1" s="170"/>
      <c r="AF1" s="170"/>
      <c r="AG1" s="170"/>
      <c r="AH1" s="170"/>
      <c r="AI1" s="170"/>
      <c r="AJ1" s="170"/>
      <c r="AK1" s="170"/>
      <c r="AL1" s="170"/>
      <c r="AM1" s="170"/>
      <c r="AN1" s="170"/>
      <c r="AO1" s="170"/>
      <c r="AP1" s="170"/>
      <c r="AQ1" s="170"/>
      <c r="AR1" s="170"/>
      <c r="AS1" s="170"/>
      <c r="AT1" s="170"/>
      <c r="AU1" s="170"/>
      <c r="AV1" s="170"/>
      <c r="AW1" s="170"/>
      <c r="AX1" s="170"/>
      <c r="AY1" s="170"/>
      <c r="AZ1" s="170"/>
      <c r="BA1" s="170"/>
      <c r="BB1" s="170"/>
      <c r="BC1" s="170"/>
      <c r="BD1" s="170"/>
      <c r="BE1" s="170"/>
      <c r="BF1" s="170"/>
      <c r="BG1" s="170"/>
      <c r="BH1" s="170"/>
      <c r="BI1" s="170"/>
      <c r="BJ1" s="170"/>
      <c r="BK1" s="170"/>
      <c r="BL1" s="170"/>
      <c r="BM1" s="170"/>
      <c r="BN1" s="170"/>
      <c r="BO1" s="170"/>
      <c r="BP1" s="170"/>
      <c r="BQ1" s="170"/>
      <c r="BR1" s="170"/>
      <c r="BS1" s="170"/>
      <c r="BT1" s="170"/>
      <c r="BU1" s="170"/>
      <c r="BV1" s="170"/>
      <c r="BW1" s="170"/>
      <c r="BX1" s="170"/>
      <c r="BY1" s="170"/>
      <c r="BZ1" s="170"/>
      <c r="CA1" s="170"/>
      <c r="CB1" s="170"/>
      <c r="CC1" s="170"/>
      <c r="CD1" s="170"/>
      <c r="CE1" s="170"/>
      <c r="CF1" s="170"/>
      <c r="CG1" s="170"/>
      <c r="CH1" s="170"/>
      <c r="CI1" s="170"/>
      <c r="CJ1" s="170"/>
      <c r="CK1" s="170"/>
      <c r="CL1" s="170"/>
      <c r="CM1" s="170"/>
      <c r="CN1" s="170"/>
      <c r="CO1" s="170"/>
      <c r="CP1" s="170"/>
      <c r="CQ1" s="170"/>
      <c r="CR1" s="170"/>
      <c r="CS1" s="170"/>
      <c r="CT1" s="170"/>
      <c r="CU1" s="170"/>
      <c r="CV1" s="170"/>
      <c r="CW1" s="170"/>
      <c r="CX1" s="170"/>
      <c r="CY1" s="170"/>
      <c r="CZ1" s="170"/>
      <c r="DA1" s="170"/>
      <c r="DB1" s="170"/>
      <c r="DC1" s="170"/>
      <c r="DD1" s="170"/>
      <c r="DE1" s="170"/>
      <c r="DF1" s="170"/>
      <c r="DG1" s="170"/>
      <c r="DH1" s="170"/>
      <c r="DI1" s="170"/>
      <c r="DJ1" s="170"/>
      <c r="DK1" s="170"/>
      <c r="DL1" s="170"/>
      <c r="DM1" s="170"/>
      <c r="DN1" s="170"/>
      <c r="DO1" s="170"/>
      <c r="DP1" s="170"/>
      <c r="DQ1" s="170"/>
      <c r="DR1" s="170"/>
      <c r="DS1" s="170"/>
      <c r="DT1" s="170"/>
      <c r="DU1" s="170"/>
      <c r="DV1" s="170"/>
      <c r="DW1" s="170"/>
      <c r="DX1" s="170"/>
      <c r="DY1" s="170"/>
      <c r="DZ1" s="170"/>
      <c r="EA1" s="170"/>
      <c r="EB1" s="170"/>
      <c r="EC1" s="170"/>
      <c r="ED1" s="170"/>
      <c r="EE1" s="170"/>
      <c r="EF1" s="170"/>
      <c r="EG1" s="170"/>
      <c r="EH1" s="170"/>
      <c r="EI1" s="170"/>
      <c r="EJ1" s="170"/>
      <c r="EK1" s="170"/>
      <c r="EL1" s="170"/>
      <c r="EM1" s="170"/>
      <c r="EN1" s="170"/>
      <c r="EO1" s="170"/>
      <c r="EP1" s="170"/>
      <c r="EQ1" s="170"/>
      <c r="ER1" s="170"/>
      <c r="ES1" s="170"/>
      <c r="ET1" s="170"/>
      <c r="EU1" s="170"/>
      <c r="EV1" s="170"/>
      <c r="EW1" s="170"/>
      <c r="EX1" s="170"/>
      <c r="EY1" s="170"/>
      <c r="EZ1" s="170"/>
      <c r="FA1" s="170"/>
      <c r="FB1" s="170"/>
      <c r="FC1" s="170"/>
      <c r="FD1" s="170"/>
      <c r="FE1" s="170"/>
      <c r="FF1" s="170"/>
      <c r="FG1" s="170"/>
      <c r="FH1" s="170"/>
      <c r="FI1" s="170"/>
      <c r="FJ1" s="170"/>
      <c r="FK1" s="170"/>
      <c r="FL1" s="170"/>
      <c r="FM1" s="170"/>
      <c r="FN1" s="170"/>
      <c r="FO1" s="170"/>
      <c r="FP1" s="170"/>
      <c r="FQ1" s="170"/>
      <c r="FR1" s="170"/>
      <c r="FS1" s="170"/>
      <c r="FT1" s="170"/>
      <c r="FU1" s="170"/>
      <c r="FV1" s="170"/>
      <c r="FW1" s="170"/>
      <c r="FX1" s="170"/>
      <c r="FY1" s="170"/>
      <c r="FZ1" s="170"/>
      <c r="GA1" s="170"/>
      <c r="GB1" s="170"/>
      <c r="GC1" s="170"/>
      <c r="GD1" s="170"/>
      <c r="GE1" s="170"/>
      <c r="GF1" s="170"/>
      <c r="GG1" s="170"/>
      <c r="GH1" s="170"/>
      <c r="GI1" s="170"/>
      <c r="GJ1" s="170"/>
      <c r="GK1" s="170"/>
      <c r="GL1" s="170"/>
      <c r="GM1" s="170"/>
      <c r="GN1" s="170"/>
      <c r="GO1" s="170"/>
      <c r="GP1" s="170"/>
      <c r="GQ1" s="170"/>
      <c r="GR1" s="170"/>
      <c r="GS1" s="170"/>
      <c r="GT1" s="170"/>
      <c r="GU1" s="170"/>
      <c r="GV1" s="170"/>
      <c r="GW1" s="170"/>
      <c r="GX1" s="170"/>
      <c r="GY1" s="170"/>
      <c r="GZ1" s="170"/>
      <c r="HA1" s="170"/>
      <c r="HB1" s="170"/>
      <c r="HC1" s="170"/>
      <c r="HD1" s="170"/>
      <c r="HE1" s="170"/>
      <c r="HF1" s="170"/>
      <c r="HG1" s="170"/>
      <c r="HH1" s="170"/>
      <c r="HI1" s="170"/>
      <c r="HJ1" s="170"/>
      <c r="HK1" s="170"/>
      <c r="HL1" s="170"/>
      <c r="HM1" s="170"/>
      <c r="HN1" s="170"/>
      <c r="HO1" s="170"/>
      <c r="HP1" s="170"/>
      <c r="HQ1" s="170"/>
      <c r="HR1" s="170"/>
      <c r="HS1" s="170"/>
      <c r="HT1" s="170"/>
      <c r="HU1" s="170"/>
      <c r="HV1" s="170"/>
      <c r="HW1" s="170"/>
      <c r="HX1" s="170"/>
      <c r="HY1" s="170"/>
      <c r="HZ1" s="170"/>
      <c r="IA1" s="170"/>
      <c r="IB1" s="170"/>
      <c r="IC1" s="170"/>
      <c r="ID1" s="170"/>
      <c r="IE1" s="170"/>
      <c r="IF1" s="170"/>
      <c r="IG1" s="170"/>
      <c r="IH1" s="170"/>
      <c r="II1" s="170"/>
      <c r="IJ1" s="170"/>
      <c r="IK1" s="170"/>
      <c r="IL1" s="170"/>
      <c r="IM1" s="170"/>
      <c r="IN1" s="170"/>
      <c r="IO1" s="170"/>
      <c r="IP1" s="170"/>
      <c r="IQ1" s="170"/>
      <c r="IR1" s="170"/>
      <c r="IS1" s="170"/>
      <c r="IT1" s="170"/>
      <c r="IU1" s="170"/>
      <c r="IV1" s="170"/>
      <c r="IW1" s="170"/>
    </row>
    <row r="2" customFormat="false" ht="32.25" hidden="true" customHeight="true" outlineLevel="0" collapsed="false">
      <c r="A2" s="169"/>
      <c r="B2" s="170"/>
      <c r="C2" s="170"/>
      <c r="D2" s="170"/>
      <c r="E2" s="170"/>
      <c r="F2" s="170"/>
      <c r="G2" s="170"/>
      <c r="H2" s="170"/>
      <c r="I2" s="170"/>
      <c r="J2" s="170"/>
      <c r="K2" s="170"/>
      <c r="L2" s="170"/>
      <c r="M2" s="170"/>
      <c r="N2" s="170"/>
      <c r="O2" s="172" t="s">
        <v>1</v>
      </c>
      <c r="P2" s="172"/>
      <c r="Q2" s="172"/>
      <c r="R2" s="172"/>
      <c r="S2" s="172"/>
      <c r="T2" s="170"/>
      <c r="U2" s="170"/>
      <c r="V2" s="170"/>
      <c r="W2" s="170"/>
      <c r="X2" s="170"/>
      <c r="Y2" s="170"/>
      <c r="Z2" s="170"/>
      <c r="AA2" s="170"/>
      <c r="AB2" s="170"/>
      <c r="AC2" s="170"/>
      <c r="AD2" s="170"/>
      <c r="AE2" s="170"/>
      <c r="AF2" s="170"/>
      <c r="AG2" s="170"/>
      <c r="AH2" s="170"/>
      <c r="AI2" s="170"/>
      <c r="AJ2" s="170"/>
      <c r="AK2" s="170"/>
      <c r="AL2" s="170"/>
      <c r="AM2" s="170"/>
      <c r="AN2" s="170"/>
      <c r="AO2" s="170"/>
      <c r="AP2" s="170"/>
      <c r="AQ2" s="170"/>
      <c r="AR2" s="170"/>
      <c r="AS2" s="170"/>
      <c r="AT2" s="170"/>
      <c r="AU2" s="170"/>
      <c r="AV2" s="170"/>
      <c r="AW2" s="170"/>
      <c r="AX2" s="170"/>
      <c r="AY2" s="170"/>
      <c r="AZ2" s="170"/>
      <c r="BA2" s="170"/>
      <c r="BB2" s="170"/>
      <c r="BC2" s="170"/>
      <c r="BD2" s="170"/>
      <c r="BE2" s="170"/>
      <c r="BF2" s="170"/>
      <c r="BG2" s="170"/>
      <c r="BH2" s="170"/>
      <c r="BI2" s="170"/>
      <c r="BJ2" s="170"/>
      <c r="BK2" s="170"/>
      <c r="BL2" s="170"/>
      <c r="BM2" s="170"/>
      <c r="BN2" s="170"/>
      <c r="BO2" s="170"/>
      <c r="BP2" s="170"/>
      <c r="BQ2" s="170"/>
      <c r="BR2" s="170"/>
      <c r="BS2" s="170"/>
      <c r="BT2" s="170"/>
      <c r="BU2" s="170"/>
      <c r="BV2" s="170"/>
      <c r="BW2" s="170"/>
      <c r="BX2" s="170"/>
      <c r="BY2" s="170"/>
      <c r="BZ2" s="170"/>
      <c r="CA2" s="170"/>
      <c r="CB2" s="170"/>
      <c r="CC2" s="170"/>
      <c r="CD2" s="170"/>
      <c r="CE2" s="170"/>
      <c r="CF2" s="170"/>
      <c r="CG2" s="170"/>
      <c r="CH2" s="170"/>
      <c r="CI2" s="170"/>
      <c r="CJ2" s="170"/>
      <c r="CK2" s="170"/>
      <c r="CL2" s="170"/>
      <c r="CM2" s="170"/>
      <c r="CN2" s="170"/>
      <c r="CO2" s="170"/>
      <c r="CP2" s="170"/>
      <c r="CQ2" s="170"/>
      <c r="CR2" s="170"/>
      <c r="CS2" s="170"/>
      <c r="CT2" s="170"/>
      <c r="CU2" s="170"/>
      <c r="CV2" s="170"/>
      <c r="CW2" s="170"/>
      <c r="CX2" s="170"/>
      <c r="CY2" s="170"/>
      <c r="CZ2" s="170"/>
      <c r="DA2" s="170"/>
      <c r="DB2" s="170"/>
      <c r="DC2" s="170"/>
      <c r="DD2" s="170"/>
      <c r="DE2" s="170"/>
      <c r="DF2" s="170"/>
      <c r="DG2" s="170"/>
      <c r="DH2" s="170"/>
      <c r="DI2" s="170"/>
      <c r="DJ2" s="170"/>
      <c r="DK2" s="170"/>
      <c r="DL2" s="170"/>
      <c r="DM2" s="170"/>
      <c r="DN2" s="170"/>
      <c r="DO2" s="170"/>
      <c r="DP2" s="170"/>
      <c r="DQ2" s="170"/>
      <c r="DR2" s="170"/>
      <c r="DS2" s="170"/>
      <c r="DT2" s="170"/>
      <c r="DU2" s="170"/>
      <c r="DV2" s="170"/>
      <c r="DW2" s="170"/>
      <c r="DX2" s="170"/>
      <c r="DY2" s="170"/>
      <c r="DZ2" s="170"/>
      <c r="EA2" s="170"/>
      <c r="EB2" s="170"/>
      <c r="EC2" s="170"/>
      <c r="ED2" s="170"/>
      <c r="EE2" s="170"/>
      <c r="EF2" s="170"/>
      <c r="EG2" s="170"/>
      <c r="EH2" s="170"/>
      <c r="EI2" s="170"/>
      <c r="EJ2" s="170"/>
      <c r="EK2" s="170"/>
      <c r="EL2" s="170"/>
      <c r="EM2" s="170"/>
      <c r="EN2" s="170"/>
      <c r="EO2" s="170"/>
      <c r="EP2" s="170"/>
      <c r="EQ2" s="170"/>
      <c r="ER2" s="170"/>
      <c r="ES2" s="170"/>
      <c r="ET2" s="170"/>
      <c r="EU2" s="170"/>
      <c r="EV2" s="170"/>
      <c r="EW2" s="170"/>
      <c r="EX2" s="170"/>
      <c r="EY2" s="170"/>
      <c r="EZ2" s="170"/>
      <c r="FA2" s="170"/>
      <c r="FB2" s="170"/>
      <c r="FC2" s="170"/>
      <c r="FD2" s="170"/>
      <c r="FE2" s="170"/>
      <c r="FF2" s="170"/>
      <c r="FG2" s="170"/>
      <c r="FH2" s="170"/>
      <c r="FI2" s="170"/>
      <c r="FJ2" s="170"/>
      <c r="FK2" s="170"/>
      <c r="FL2" s="170"/>
      <c r="FM2" s="170"/>
      <c r="FN2" s="170"/>
      <c r="FO2" s="170"/>
      <c r="FP2" s="170"/>
      <c r="FQ2" s="170"/>
      <c r="FR2" s="170"/>
      <c r="FS2" s="170"/>
      <c r="FT2" s="170"/>
      <c r="FU2" s="170"/>
      <c r="FV2" s="170"/>
      <c r="FW2" s="170"/>
      <c r="FX2" s="170"/>
      <c r="FY2" s="170"/>
      <c r="FZ2" s="170"/>
      <c r="GA2" s="170"/>
      <c r="GB2" s="170"/>
      <c r="GC2" s="170"/>
      <c r="GD2" s="170"/>
      <c r="GE2" s="170"/>
      <c r="GF2" s="170"/>
      <c r="GG2" s="170"/>
      <c r="GH2" s="170"/>
      <c r="GI2" s="170"/>
      <c r="GJ2" s="170"/>
      <c r="GK2" s="170"/>
      <c r="GL2" s="170"/>
      <c r="GM2" s="170"/>
      <c r="GN2" s="170"/>
      <c r="GO2" s="170"/>
      <c r="GP2" s="170"/>
      <c r="GQ2" s="170"/>
      <c r="GR2" s="170"/>
      <c r="GS2" s="170"/>
      <c r="GT2" s="170"/>
      <c r="GU2" s="170"/>
      <c r="GV2" s="170"/>
      <c r="GW2" s="170"/>
      <c r="GX2" s="170"/>
      <c r="GY2" s="170"/>
      <c r="GZ2" s="170"/>
      <c r="HA2" s="170"/>
      <c r="HB2" s="170"/>
      <c r="HC2" s="170"/>
      <c r="HD2" s="170"/>
      <c r="HE2" s="170"/>
      <c r="HF2" s="170"/>
      <c r="HG2" s="170"/>
      <c r="HH2" s="170"/>
      <c r="HI2" s="170"/>
      <c r="HJ2" s="170"/>
      <c r="HK2" s="170"/>
      <c r="HL2" s="170"/>
      <c r="HM2" s="170"/>
      <c r="HN2" s="170"/>
      <c r="HO2" s="170"/>
      <c r="HP2" s="170"/>
      <c r="HQ2" s="170"/>
      <c r="HR2" s="170"/>
      <c r="HS2" s="170"/>
      <c r="HT2" s="170"/>
      <c r="HU2" s="170"/>
      <c r="HV2" s="170"/>
      <c r="HW2" s="170"/>
      <c r="HX2" s="170"/>
      <c r="HY2" s="170"/>
      <c r="HZ2" s="170"/>
      <c r="IA2" s="170"/>
      <c r="IB2" s="170"/>
      <c r="IC2" s="170"/>
      <c r="ID2" s="170"/>
      <c r="IE2" s="170"/>
      <c r="IF2" s="170"/>
      <c r="IG2" s="170"/>
      <c r="IH2" s="170"/>
      <c r="II2" s="170"/>
      <c r="IJ2" s="170"/>
      <c r="IK2" s="170"/>
      <c r="IL2" s="170"/>
      <c r="IM2" s="170"/>
      <c r="IN2" s="170"/>
      <c r="IO2" s="170"/>
      <c r="IP2" s="170"/>
      <c r="IQ2" s="170"/>
      <c r="IR2" s="170"/>
      <c r="IS2" s="170"/>
      <c r="IT2" s="170"/>
      <c r="IU2" s="170"/>
      <c r="IV2" s="170"/>
      <c r="IW2" s="170"/>
    </row>
    <row r="3" customFormat="false" ht="25.5" hidden="true" customHeight="true" outlineLevel="0" collapsed="false">
      <c r="A3" s="173"/>
      <c r="B3" s="173"/>
      <c r="C3" s="173"/>
      <c r="D3" s="173"/>
      <c r="E3" s="173"/>
      <c r="F3" s="173"/>
      <c r="G3" s="173"/>
      <c r="H3" s="173"/>
      <c r="I3" s="173"/>
      <c r="J3" s="173"/>
      <c r="K3" s="173"/>
      <c r="L3" s="173"/>
      <c r="M3" s="173"/>
      <c r="N3" s="173"/>
      <c r="O3" s="173"/>
      <c r="P3" s="174"/>
      <c r="Q3" s="174"/>
      <c r="R3" s="174"/>
      <c r="S3" s="170"/>
      <c r="T3" s="170"/>
      <c r="U3" s="170"/>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170"/>
      <c r="BD3" s="170"/>
      <c r="BE3" s="170"/>
      <c r="BF3" s="170"/>
      <c r="BG3" s="170"/>
      <c r="BH3" s="170"/>
      <c r="BI3" s="170"/>
      <c r="BJ3" s="170"/>
      <c r="BK3" s="170"/>
      <c r="BL3" s="170"/>
      <c r="BM3" s="170"/>
      <c r="BN3" s="170"/>
      <c r="BO3" s="170"/>
      <c r="BP3" s="170"/>
      <c r="BQ3" s="170"/>
      <c r="BR3" s="170"/>
      <c r="BS3" s="170"/>
      <c r="BT3" s="170"/>
      <c r="BU3" s="170"/>
      <c r="BV3" s="170"/>
      <c r="BW3" s="170"/>
      <c r="BX3" s="170"/>
      <c r="BY3" s="170"/>
      <c r="BZ3" s="170"/>
      <c r="CA3" s="170"/>
      <c r="CB3" s="170"/>
      <c r="CC3" s="170"/>
      <c r="CD3" s="170"/>
      <c r="CE3" s="170"/>
      <c r="CF3" s="170"/>
      <c r="CG3" s="170"/>
      <c r="CH3" s="170"/>
      <c r="CI3" s="170"/>
      <c r="CJ3" s="170"/>
      <c r="CK3" s="170"/>
      <c r="CL3" s="170"/>
      <c r="CM3" s="170"/>
      <c r="CN3" s="170"/>
      <c r="CO3" s="170"/>
      <c r="CP3" s="170"/>
      <c r="CQ3" s="170"/>
      <c r="CR3" s="170"/>
      <c r="CS3" s="170"/>
      <c r="CT3" s="170"/>
      <c r="CU3" s="170"/>
      <c r="CV3" s="170"/>
      <c r="CW3" s="170"/>
      <c r="CX3" s="170"/>
      <c r="CY3" s="170"/>
      <c r="CZ3" s="170"/>
      <c r="DA3" s="170"/>
      <c r="DB3" s="170"/>
      <c r="DC3" s="170"/>
      <c r="DD3" s="170"/>
      <c r="DE3" s="170"/>
      <c r="DF3" s="170"/>
      <c r="DG3" s="170"/>
      <c r="DH3" s="170"/>
      <c r="DI3" s="170"/>
      <c r="DJ3" s="170"/>
      <c r="DK3" s="170"/>
      <c r="DL3" s="170"/>
      <c r="DM3" s="170"/>
      <c r="DN3" s="170"/>
      <c r="DO3" s="170"/>
      <c r="DP3" s="170"/>
      <c r="DQ3" s="170"/>
      <c r="DR3" s="170"/>
      <c r="DS3" s="170"/>
      <c r="DT3" s="170"/>
      <c r="DU3" s="170"/>
      <c r="DV3" s="170"/>
      <c r="DW3" s="170"/>
      <c r="DX3" s="170"/>
      <c r="DY3" s="170"/>
      <c r="DZ3" s="170"/>
      <c r="EA3" s="170"/>
      <c r="EB3" s="170"/>
      <c r="EC3" s="170"/>
      <c r="ED3" s="170"/>
      <c r="EE3" s="170"/>
      <c r="EF3" s="170"/>
      <c r="EG3" s="170"/>
      <c r="EH3" s="170"/>
      <c r="EI3" s="170"/>
      <c r="EJ3" s="170"/>
      <c r="EK3" s="170"/>
      <c r="EL3" s="170"/>
      <c r="EM3" s="170"/>
      <c r="EN3" s="170"/>
      <c r="EO3" s="170"/>
      <c r="EP3" s="170"/>
      <c r="EQ3" s="170"/>
      <c r="ER3" s="170"/>
      <c r="ES3" s="170"/>
      <c r="ET3" s="170"/>
      <c r="EU3" s="170"/>
      <c r="EV3" s="170"/>
      <c r="EW3" s="170"/>
      <c r="EX3" s="170"/>
      <c r="EY3" s="170"/>
      <c r="EZ3" s="170"/>
      <c r="FA3" s="170"/>
      <c r="FB3" s="170"/>
      <c r="FC3" s="170"/>
      <c r="FD3" s="170"/>
      <c r="FE3" s="170"/>
      <c r="FF3" s="170"/>
      <c r="FG3" s="170"/>
      <c r="FH3" s="170"/>
      <c r="FI3" s="170"/>
      <c r="FJ3" s="170"/>
      <c r="FK3" s="170"/>
      <c r="FL3" s="170"/>
      <c r="FM3" s="170"/>
      <c r="FN3" s="170"/>
      <c r="FO3" s="170"/>
      <c r="FP3" s="170"/>
      <c r="FQ3" s="170"/>
      <c r="FR3" s="170"/>
      <c r="FS3" s="170"/>
      <c r="FT3" s="170"/>
      <c r="FU3" s="170"/>
      <c r="FV3" s="170"/>
      <c r="FW3" s="170"/>
      <c r="FX3" s="170"/>
      <c r="FY3" s="170"/>
      <c r="FZ3" s="170"/>
      <c r="GA3" s="170"/>
      <c r="GB3" s="170"/>
      <c r="GC3" s="170"/>
      <c r="GD3" s="170"/>
      <c r="GE3" s="170"/>
      <c r="GF3" s="170"/>
      <c r="GG3" s="170"/>
      <c r="GH3" s="170"/>
      <c r="GI3" s="170"/>
      <c r="GJ3" s="170"/>
      <c r="GK3" s="170"/>
      <c r="GL3" s="170"/>
      <c r="GM3" s="170"/>
      <c r="GN3" s="170"/>
      <c r="GO3" s="170"/>
      <c r="GP3" s="170"/>
      <c r="GQ3" s="170"/>
      <c r="GR3" s="170"/>
      <c r="GS3" s="170"/>
      <c r="GT3" s="170"/>
      <c r="GU3" s="170"/>
      <c r="GV3" s="170"/>
      <c r="GW3" s="170"/>
      <c r="GX3" s="170"/>
      <c r="GY3" s="170"/>
      <c r="GZ3" s="170"/>
      <c r="HA3" s="170"/>
      <c r="HB3" s="170"/>
      <c r="HC3" s="170"/>
      <c r="HD3" s="170"/>
      <c r="HE3" s="170"/>
      <c r="HF3" s="170"/>
      <c r="HG3" s="170"/>
      <c r="HH3" s="170"/>
      <c r="HI3" s="170"/>
      <c r="HJ3" s="170"/>
      <c r="HK3" s="170"/>
      <c r="HL3" s="170"/>
      <c r="HM3" s="170"/>
      <c r="HN3" s="170"/>
      <c r="HO3" s="170"/>
      <c r="HP3" s="170"/>
      <c r="HQ3" s="170"/>
      <c r="HR3" s="170"/>
      <c r="HS3" s="170"/>
      <c r="HT3" s="170"/>
      <c r="HU3" s="170"/>
      <c r="HV3" s="170"/>
      <c r="HW3" s="170"/>
      <c r="HX3" s="170"/>
      <c r="HY3" s="170"/>
      <c r="HZ3" s="170"/>
      <c r="IA3" s="170"/>
      <c r="IB3" s="170"/>
      <c r="IC3" s="170"/>
      <c r="ID3" s="170"/>
      <c r="IE3" s="170"/>
      <c r="IF3" s="170"/>
      <c r="IG3" s="170"/>
      <c r="IH3" s="170"/>
      <c r="II3" s="170"/>
      <c r="IJ3" s="170"/>
      <c r="IK3" s="170"/>
      <c r="IL3" s="170"/>
      <c r="IM3" s="170"/>
      <c r="IN3" s="170"/>
      <c r="IO3" s="170"/>
      <c r="IP3" s="170"/>
      <c r="IQ3" s="170"/>
      <c r="IR3" s="170"/>
      <c r="IS3" s="170"/>
      <c r="IT3" s="170"/>
      <c r="IU3" s="170"/>
      <c r="IV3" s="170"/>
      <c r="IW3" s="170"/>
    </row>
    <row r="4" customFormat="false" ht="17.25" hidden="true" customHeight="true" outlineLevel="0" collapsed="false">
      <c r="A4" s="175"/>
      <c r="B4" s="176"/>
      <c r="C4" s="176"/>
      <c r="D4" s="176"/>
      <c r="E4" s="176"/>
      <c r="F4" s="176"/>
      <c r="G4" s="176"/>
      <c r="H4" s="176"/>
      <c r="I4" s="176"/>
      <c r="J4" s="176"/>
      <c r="K4" s="176"/>
      <c r="L4" s="176"/>
      <c r="M4" s="176"/>
      <c r="N4" s="176"/>
      <c r="O4" s="170"/>
      <c r="P4" s="170"/>
      <c r="Q4" s="170"/>
      <c r="R4" s="170"/>
      <c r="S4" s="170"/>
      <c r="T4" s="170"/>
      <c r="U4" s="170"/>
      <c r="V4" s="170"/>
      <c r="W4" s="170"/>
      <c r="X4" s="170"/>
      <c r="Y4" s="170"/>
      <c r="Z4" s="170"/>
      <c r="AA4" s="170"/>
      <c r="AB4" s="170"/>
      <c r="AC4" s="170"/>
      <c r="AD4" s="170"/>
      <c r="AE4" s="170"/>
      <c r="AF4" s="170"/>
      <c r="AG4" s="170"/>
      <c r="AH4" s="170"/>
      <c r="AI4" s="170"/>
      <c r="AJ4" s="170"/>
      <c r="AK4" s="170"/>
      <c r="AL4" s="170"/>
      <c r="AM4" s="170"/>
      <c r="AN4" s="170"/>
      <c r="AO4" s="170"/>
      <c r="AP4" s="170"/>
      <c r="AQ4" s="170"/>
      <c r="AR4" s="170"/>
      <c r="AS4" s="170"/>
      <c r="AT4" s="170"/>
      <c r="AU4" s="170"/>
      <c r="AV4" s="170"/>
      <c r="AW4" s="170"/>
      <c r="AX4" s="170"/>
      <c r="AY4" s="170"/>
      <c r="AZ4" s="170"/>
      <c r="BA4" s="170"/>
      <c r="BB4" s="170"/>
      <c r="BC4" s="170"/>
      <c r="BD4" s="170"/>
      <c r="BE4" s="170"/>
      <c r="BF4" s="170"/>
      <c r="BG4" s="170"/>
      <c r="BH4" s="170"/>
      <c r="BI4" s="170"/>
      <c r="BJ4" s="170"/>
      <c r="BK4" s="170"/>
      <c r="BL4" s="170"/>
      <c r="BM4" s="170"/>
      <c r="BN4" s="170"/>
      <c r="BO4" s="170"/>
      <c r="BP4" s="170"/>
      <c r="BQ4" s="170"/>
      <c r="BR4" s="170"/>
      <c r="BS4" s="170"/>
      <c r="BT4" s="170"/>
      <c r="BU4" s="170"/>
      <c r="BV4" s="170"/>
      <c r="BW4" s="170"/>
      <c r="BX4" s="170"/>
      <c r="BY4" s="170"/>
      <c r="BZ4" s="170"/>
      <c r="CA4" s="170"/>
      <c r="CB4" s="170"/>
      <c r="CC4" s="170"/>
      <c r="CD4" s="170"/>
      <c r="CE4" s="170"/>
      <c r="CF4" s="170"/>
      <c r="CG4" s="170"/>
      <c r="CH4" s="170"/>
      <c r="CI4" s="170"/>
      <c r="CJ4" s="170"/>
      <c r="CK4" s="170"/>
      <c r="CL4" s="170"/>
      <c r="CM4" s="170"/>
      <c r="CN4" s="170"/>
      <c r="CO4" s="170"/>
      <c r="CP4" s="170"/>
      <c r="CQ4" s="170"/>
      <c r="CR4" s="170"/>
      <c r="CS4" s="170"/>
      <c r="CT4" s="170"/>
      <c r="CU4" s="170"/>
      <c r="CV4" s="170"/>
      <c r="CW4" s="170"/>
      <c r="CX4" s="170"/>
      <c r="CY4" s="170"/>
      <c r="CZ4" s="170"/>
      <c r="DA4" s="170"/>
      <c r="DB4" s="170"/>
      <c r="DC4" s="170"/>
      <c r="DD4" s="170"/>
      <c r="DE4" s="170"/>
      <c r="DF4" s="170"/>
      <c r="DG4" s="170"/>
      <c r="DH4" s="170"/>
      <c r="DI4" s="170"/>
      <c r="DJ4" s="170"/>
      <c r="DK4" s="170"/>
      <c r="DL4" s="170"/>
      <c r="DM4" s="170"/>
      <c r="DN4" s="170"/>
      <c r="DO4" s="170"/>
      <c r="DP4" s="170"/>
      <c r="DQ4" s="170"/>
      <c r="DR4" s="170"/>
      <c r="DS4" s="170"/>
      <c r="DT4" s="170"/>
      <c r="DU4" s="170"/>
      <c r="DV4" s="170"/>
      <c r="DW4" s="170"/>
      <c r="DX4" s="170"/>
      <c r="DY4" s="170"/>
      <c r="DZ4" s="170"/>
      <c r="EA4" s="170"/>
      <c r="EB4" s="170"/>
      <c r="EC4" s="170"/>
      <c r="ED4" s="170"/>
      <c r="EE4" s="170"/>
      <c r="EF4" s="170"/>
      <c r="EG4" s="170"/>
      <c r="EH4" s="170"/>
      <c r="EI4" s="170"/>
      <c r="EJ4" s="170"/>
      <c r="EK4" s="170"/>
      <c r="EL4" s="170"/>
      <c r="EM4" s="170"/>
      <c r="EN4" s="170"/>
      <c r="EO4" s="170"/>
      <c r="EP4" s="170"/>
      <c r="EQ4" s="170"/>
      <c r="ER4" s="170"/>
      <c r="ES4" s="170"/>
      <c r="ET4" s="170"/>
      <c r="EU4" s="170"/>
      <c r="EV4" s="170"/>
      <c r="EW4" s="170"/>
      <c r="EX4" s="170"/>
      <c r="EY4" s="170"/>
      <c r="EZ4" s="170"/>
      <c r="FA4" s="170"/>
      <c r="FB4" s="170"/>
      <c r="FC4" s="170"/>
      <c r="FD4" s="170"/>
      <c r="FE4" s="170"/>
      <c r="FF4" s="170"/>
      <c r="FG4" s="170"/>
      <c r="FH4" s="170"/>
      <c r="FI4" s="170"/>
      <c r="FJ4" s="170"/>
      <c r="FK4" s="170"/>
      <c r="FL4" s="170"/>
      <c r="FM4" s="170"/>
      <c r="FN4" s="170"/>
      <c r="FO4" s="170"/>
      <c r="FP4" s="170"/>
      <c r="FQ4" s="170"/>
      <c r="FR4" s="170"/>
      <c r="FS4" s="170"/>
      <c r="FT4" s="170"/>
      <c r="FU4" s="170"/>
      <c r="FV4" s="170"/>
      <c r="FW4" s="170"/>
      <c r="FX4" s="170"/>
      <c r="FY4" s="170"/>
      <c r="FZ4" s="170"/>
      <c r="GA4" s="170"/>
      <c r="GB4" s="170"/>
      <c r="GC4" s="170"/>
      <c r="GD4" s="170"/>
      <c r="GE4" s="170"/>
      <c r="GF4" s="170"/>
      <c r="GG4" s="170"/>
      <c r="GH4" s="170"/>
      <c r="GI4" s="170"/>
      <c r="GJ4" s="170"/>
      <c r="GK4" s="170"/>
      <c r="GL4" s="170"/>
      <c r="GM4" s="170"/>
      <c r="GN4" s="170"/>
      <c r="GO4" s="170"/>
      <c r="GP4" s="170"/>
      <c r="GQ4" s="170"/>
      <c r="GR4" s="170"/>
      <c r="GS4" s="170"/>
      <c r="GT4" s="170"/>
      <c r="GU4" s="170"/>
      <c r="GV4" s="170"/>
      <c r="GW4" s="170"/>
      <c r="GX4" s="170"/>
      <c r="GY4" s="170"/>
      <c r="GZ4" s="170"/>
      <c r="HA4" s="170"/>
      <c r="HB4" s="170"/>
      <c r="HC4" s="170"/>
      <c r="HD4" s="170"/>
      <c r="HE4" s="170"/>
      <c r="HF4" s="170"/>
      <c r="HG4" s="170"/>
      <c r="HH4" s="170"/>
      <c r="HI4" s="170"/>
      <c r="HJ4" s="170"/>
      <c r="HK4" s="170"/>
      <c r="HL4" s="170"/>
      <c r="HM4" s="170"/>
      <c r="HN4" s="170"/>
      <c r="HO4" s="170"/>
      <c r="HP4" s="170"/>
      <c r="HQ4" s="170"/>
      <c r="HR4" s="170"/>
      <c r="HS4" s="170"/>
      <c r="HT4" s="170"/>
      <c r="HU4" s="170"/>
      <c r="HV4" s="170"/>
      <c r="HW4" s="170"/>
      <c r="HX4" s="170"/>
      <c r="HY4" s="170"/>
      <c r="HZ4" s="170"/>
      <c r="IA4" s="170"/>
      <c r="IB4" s="170"/>
      <c r="IC4" s="170"/>
      <c r="ID4" s="170"/>
      <c r="IE4" s="170"/>
      <c r="IF4" s="170"/>
      <c r="IG4" s="170"/>
      <c r="IH4" s="170"/>
      <c r="II4" s="170"/>
      <c r="IJ4" s="170"/>
      <c r="IK4" s="170"/>
      <c r="IL4" s="170"/>
      <c r="IM4" s="170"/>
      <c r="IN4" s="170"/>
      <c r="IO4" s="170"/>
      <c r="IP4" s="170"/>
      <c r="IQ4" s="170"/>
      <c r="IR4" s="170"/>
      <c r="IS4" s="170"/>
      <c r="IT4" s="170"/>
      <c r="IU4" s="170"/>
      <c r="IV4" s="170"/>
      <c r="IW4" s="170"/>
    </row>
    <row r="5" s="168" customFormat="true" ht="28.5" hidden="true" customHeight="true" outlineLevel="0" collapsed="false">
      <c r="A5" s="177"/>
      <c r="B5" s="177"/>
      <c r="C5" s="177"/>
      <c r="D5" s="177"/>
      <c r="E5" s="177"/>
      <c r="F5" s="177"/>
      <c r="G5" s="177"/>
      <c r="H5" s="177"/>
      <c r="I5" s="177"/>
      <c r="J5" s="177"/>
      <c r="K5" s="177"/>
      <c r="L5" s="177"/>
      <c r="M5" s="177"/>
      <c r="N5" s="177"/>
      <c r="O5" s="177"/>
      <c r="P5" s="177"/>
      <c r="Q5" s="177"/>
    </row>
    <row r="6" s="168" customFormat="true" ht="15" hidden="true" customHeight="true" outlineLevel="0" collapsed="false">
      <c r="A6" s="178"/>
    </row>
    <row r="7" s="187" customFormat="true" ht="28.9" hidden="false" customHeight="true" outlineLevel="0" collapsed="false">
      <c r="A7" s="179" t="s">
        <v>4</v>
      </c>
      <c r="B7" s="180" t="s">
        <v>5</v>
      </c>
      <c r="C7" s="181" t="s">
        <v>6</v>
      </c>
      <c r="D7" s="181" t="s">
        <v>7</v>
      </c>
      <c r="E7" s="181" t="s">
        <v>8</v>
      </c>
      <c r="F7" s="182" t="s">
        <v>9</v>
      </c>
      <c r="G7" s="182"/>
      <c r="H7" s="182"/>
      <c r="I7" s="182" t="s">
        <v>10</v>
      </c>
      <c r="J7" s="182"/>
      <c r="K7" s="182"/>
      <c r="L7" s="183" t="s">
        <v>11</v>
      </c>
      <c r="M7" s="183"/>
      <c r="N7" s="183"/>
      <c r="O7" s="184" t="s">
        <v>12</v>
      </c>
      <c r="P7" s="181" t="s">
        <v>13</v>
      </c>
      <c r="Q7" s="185" t="s">
        <v>1099</v>
      </c>
      <c r="R7" s="186" t="s">
        <v>14</v>
      </c>
      <c r="S7" s="179" t="s">
        <v>15</v>
      </c>
      <c r="U7" s="188" t="s">
        <v>16</v>
      </c>
      <c r="V7" s="188"/>
      <c r="W7" s="188"/>
    </row>
    <row r="8" s="187" customFormat="true" ht="28.9" hidden="false" customHeight="true" outlineLevel="0" collapsed="false">
      <c r="A8" s="179"/>
      <c r="B8" s="180"/>
      <c r="C8" s="180"/>
      <c r="D8" s="180"/>
      <c r="E8" s="181"/>
      <c r="F8" s="182"/>
      <c r="G8" s="182"/>
      <c r="H8" s="182"/>
      <c r="I8" s="182"/>
      <c r="J8" s="182"/>
      <c r="K8" s="182"/>
      <c r="L8" s="183"/>
      <c r="M8" s="183"/>
      <c r="N8" s="183"/>
      <c r="O8" s="184"/>
      <c r="P8" s="181"/>
      <c r="Q8" s="185"/>
      <c r="R8" s="186"/>
      <c r="S8" s="179"/>
      <c r="U8" s="188"/>
      <c r="V8" s="188"/>
      <c r="W8" s="188"/>
    </row>
    <row r="9" s="187" customFormat="true" ht="115.5" hidden="false" customHeight="true" outlineLevel="0" collapsed="false">
      <c r="A9" s="179"/>
      <c r="B9" s="180"/>
      <c r="C9" s="181"/>
      <c r="D9" s="181"/>
      <c r="E9" s="181"/>
      <c r="F9" s="189" t="s">
        <v>17</v>
      </c>
      <c r="G9" s="190" t="s">
        <v>18</v>
      </c>
      <c r="H9" s="190" t="s">
        <v>19</v>
      </c>
      <c r="I9" s="189" t="s">
        <v>17</v>
      </c>
      <c r="J9" s="190" t="s">
        <v>18</v>
      </c>
      <c r="K9" s="190" t="s">
        <v>19</v>
      </c>
      <c r="L9" s="189" t="s">
        <v>17</v>
      </c>
      <c r="M9" s="190" t="s">
        <v>18</v>
      </c>
      <c r="N9" s="190" t="s">
        <v>20</v>
      </c>
      <c r="O9" s="184"/>
      <c r="P9" s="181"/>
      <c r="Q9" s="185"/>
      <c r="R9" s="186"/>
      <c r="S9" s="179"/>
      <c r="U9" s="191" t="s">
        <v>9</v>
      </c>
      <c r="V9" s="191" t="s">
        <v>10</v>
      </c>
      <c r="W9" s="191" t="s">
        <v>11</v>
      </c>
    </row>
    <row r="10" s="26" customFormat="true" ht="15.75" hidden="false" customHeight="true" outlineLevel="0" collapsed="false">
      <c r="A10" s="22" t="n">
        <v>1</v>
      </c>
      <c r="B10" s="23" t="n">
        <v>2</v>
      </c>
      <c r="C10" s="24" t="n">
        <v>3</v>
      </c>
      <c r="D10" s="24" t="n">
        <v>4</v>
      </c>
      <c r="E10" s="24" t="n">
        <v>5</v>
      </c>
      <c r="F10" s="25" t="n">
        <v>5</v>
      </c>
      <c r="G10" s="25" t="n">
        <v>6</v>
      </c>
      <c r="H10" s="23" t="n">
        <v>7</v>
      </c>
      <c r="I10" s="25" t="n">
        <v>8</v>
      </c>
      <c r="J10" s="23" t="n">
        <v>9</v>
      </c>
      <c r="K10" s="23" t="n">
        <v>10</v>
      </c>
      <c r="L10" s="25" t="n">
        <v>11</v>
      </c>
      <c r="M10" s="23" t="n">
        <v>6</v>
      </c>
      <c r="N10" s="23" t="n">
        <v>7</v>
      </c>
      <c r="O10" s="25" t="n">
        <v>8</v>
      </c>
      <c r="P10" s="25" t="n">
        <v>16</v>
      </c>
      <c r="Q10" s="25"/>
      <c r="R10" s="122" t="n">
        <v>9</v>
      </c>
      <c r="S10" s="122" t="n">
        <v>18</v>
      </c>
      <c r="T10" s="123"/>
      <c r="U10" s="192"/>
      <c r="V10" s="192"/>
      <c r="W10" s="192"/>
      <c r="X10" s="123"/>
      <c r="Y10" s="123"/>
      <c r="Z10" s="123"/>
      <c r="AA10" s="123"/>
      <c r="AB10" s="123"/>
    </row>
    <row r="11" s="71" customFormat="true" ht="38.85" hidden="false" customHeight="true" outlineLevel="0" collapsed="false">
      <c r="A11" s="193" t="n">
        <v>1</v>
      </c>
      <c r="B11" s="57" t="s">
        <v>1100</v>
      </c>
      <c r="C11" s="125" t="s">
        <v>143</v>
      </c>
      <c r="D11" s="125" t="n">
        <v>11</v>
      </c>
      <c r="E11" s="126" t="n">
        <f aca="false">Q11</f>
        <v>54375</v>
      </c>
      <c r="F11" s="34" t="s">
        <v>1101</v>
      </c>
      <c r="G11" s="34" t="n">
        <v>54375</v>
      </c>
      <c r="H11" s="34" t="n">
        <f aca="false">G11*D11</f>
        <v>598125</v>
      </c>
      <c r="I11" s="194" t="s">
        <v>1102</v>
      </c>
      <c r="J11" s="34" t="n">
        <v>59800</v>
      </c>
      <c r="K11" s="34" t="n">
        <f aca="false">J11*D11</f>
        <v>657800</v>
      </c>
      <c r="L11" s="195" t="s">
        <v>1103</v>
      </c>
      <c r="M11" s="34" t="n">
        <v>61443</v>
      </c>
      <c r="N11" s="34" t="n">
        <f aca="false">D11*M11</f>
        <v>675873</v>
      </c>
      <c r="O11" s="196" t="n">
        <f aca="false">AVERAGE(G11,J11,M11)</f>
        <v>58539.33</v>
      </c>
      <c r="P11" s="36" t="n">
        <f aca="false">E11*100/O11-100</f>
        <v>-7.11373020497501</v>
      </c>
      <c r="Q11" s="197" t="n">
        <f aca="false">MIN(G11,J11,M11)</f>
        <v>54375</v>
      </c>
      <c r="R11" s="128" t="n">
        <f aca="false">D11*E11</f>
        <v>598125</v>
      </c>
      <c r="S11" s="70"/>
      <c r="U11" s="86" t="n">
        <f aca="false">ROUND(G11*100/O11-100,0)</f>
        <v>-7</v>
      </c>
      <c r="V11" s="86" t="n">
        <f aca="false">ROUND(J11*100/O11-100,0)</f>
        <v>2</v>
      </c>
      <c r="W11" s="86" t="n">
        <f aca="false">ROUND(M11*100/O11-100,0)</f>
        <v>5</v>
      </c>
      <c r="X11" s="86" t="n">
        <f aca="false">O11/1.2</f>
        <v>48782.78</v>
      </c>
      <c r="Y11" s="86" t="n">
        <f aca="false">O11*1.2</f>
        <v>70247.2</v>
      </c>
      <c r="Z11" s="198" t="b">
        <f aca="false">AND((G11)&gt;=MIN(X11),(G11)&lt;=MAX(Y11))</f>
        <v>1</v>
      </c>
      <c r="AA11" s="133" t="n">
        <f aca="false">AND((J11)&gt;=MIN(X11),(J11)&lt;=MAX(Y11))</f>
        <v>1</v>
      </c>
      <c r="AB11" s="136" t="n">
        <f aca="false">AND((M11)&gt;=MIN(X11),(M11)&lt;=MAX(Y11))</f>
        <v>1</v>
      </c>
    </row>
    <row r="12" s="71" customFormat="true" ht="116.45" hidden="false" customHeight="true" outlineLevel="0" collapsed="false">
      <c r="A12" s="193" t="n">
        <v>2</v>
      </c>
      <c r="B12" s="199" t="s">
        <v>1104</v>
      </c>
      <c r="C12" s="125" t="s">
        <v>143</v>
      </c>
      <c r="D12" s="125" t="n">
        <v>3</v>
      </c>
      <c r="E12" s="126" t="n">
        <f aca="false">Q12</f>
        <v>2880</v>
      </c>
      <c r="F12" s="200" t="s">
        <v>1105</v>
      </c>
      <c r="G12" s="201" t="n">
        <f aca="false">(3900/1.2)*1.042</f>
        <v>3386.5</v>
      </c>
      <c r="H12" s="34" t="n">
        <f aca="false">G12*D12</f>
        <v>10159.5</v>
      </c>
      <c r="I12" s="200" t="s">
        <v>1106</v>
      </c>
      <c r="J12" s="34" t="n">
        <v>2933.33</v>
      </c>
      <c r="K12" s="34" t="n">
        <f aca="false">J12*D12</f>
        <v>8799.99</v>
      </c>
      <c r="L12" s="200" t="s">
        <v>1107</v>
      </c>
      <c r="M12" s="34" t="n">
        <v>2880</v>
      </c>
      <c r="N12" s="34" t="n">
        <f aca="false">D12*M12</f>
        <v>8640</v>
      </c>
      <c r="O12" s="196" t="n">
        <f aca="false">AVERAGE(G12,J12,M12)</f>
        <v>3066.61</v>
      </c>
      <c r="P12" s="36" t="n">
        <f aca="false">E12*100/O12-100</f>
        <v>-6.08522113995585</v>
      </c>
      <c r="Q12" s="197" t="n">
        <f aca="false">MIN(G12,J12,M12)</f>
        <v>2880</v>
      </c>
      <c r="R12" s="128" t="n">
        <f aca="false">D12*E12</f>
        <v>8640</v>
      </c>
      <c r="S12" s="70"/>
      <c r="U12" s="86" t="n">
        <f aca="false">ROUND(G12*100/O12-100,0)</f>
        <v>10</v>
      </c>
      <c r="V12" s="86" t="n">
        <f aca="false">ROUND(J12*100/O12-100,0)</f>
        <v>-4</v>
      </c>
      <c r="W12" s="86" t="n">
        <f aca="false">ROUND(M12*100/O12-100,0)</f>
        <v>-6</v>
      </c>
      <c r="X12" s="86" t="n">
        <f aca="false">O12/1.2</f>
        <v>2555.51</v>
      </c>
      <c r="Y12" s="86" t="n">
        <f aca="false">O12*1.2</f>
        <v>3679.93</v>
      </c>
      <c r="Z12" s="198" t="b">
        <f aca="false">AND((G12)&gt;=MIN(X12),(G12)&lt;=MAX(Y12))</f>
        <v>1</v>
      </c>
      <c r="AA12" s="133" t="n">
        <f aca="false">AND((J12)&gt;=MIN(X12),(J12)&lt;=MAX(Y12))</f>
        <v>1</v>
      </c>
      <c r="AB12" s="136" t="n">
        <f aca="false">AND((M12)&gt;=MIN(X12),(M12)&lt;=MAX(Y12))</f>
        <v>1</v>
      </c>
    </row>
    <row r="13" s="71" customFormat="true" ht="267.75" hidden="false" customHeight="true" outlineLevel="0" collapsed="false">
      <c r="A13" s="193" t="n">
        <v>3</v>
      </c>
      <c r="B13" s="57" t="s">
        <v>1108</v>
      </c>
      <c r="C13" s="125" t="s">
        <v>143</v>
      </c>
      <c r="D13" s="125" t="n">
        <v>31</v>
      </c>
      <c r="E13" s="126" t="n">
        <f aca="false">Q13</f>
        <v>2613.78</v>
      </c>
      <c r="F13" s="202" t="s">
        <v>1109</v>
      </c>
      <c r="G13" s="34" t="n">
        <f aca="false">(3789/1.2)*1.042</f>
        <v>3290.12</v>
      </c>
      <c r="H13" s="34" t="n">
        <f aca="false">G13*D13</f>
        <v>101993.72</v>
      </c>
      <c r="I13" s="34" t="s">
        <v>1110</v>
      </c>
      <c r="J13" s="34" t="n">
        <v>2613.78</v>
      </c>
      <c r="K13" s="34" t="n">
        <f aca="false">J13*D13</f>
        <v>81027.18</v>
      </c>
      <c r="L13" s="34" t="s">
        <v>1111</v>
      </c>
      <c r="M13" s="34" t="n">
        <v>2630.11</v>
      </c>
      <c r="N13" s="34" t="n">
        <f aca="false">D13*M13</f>
        <v>81533.41</v>
      </c>
      <c r="O13" s="196" t="n">
        <f aca="false">AVERAGE(G13,J13,M13)</f>
        <v>2844.67</v>
      </c>
      <c r="P13" s="36" t="n">
        <f aca="false">E13*100/O13-100</f>
        <v>-8.11658294283694</v>
      </c>
      <c r="Q13" s="197" t="n">
        <f aca="false">MIN(G13,J13,M13)</f>
        <v>2613.78</v>
      </c>
      <c r="R13" s="128" t="n">
        <f aca="false">D13*E13</f>
        <v>81027.18</v>
      </c>
      <c r="S13" s="70"/>
      <c r="U13" s="86" t="n">
        <f aca="false">ROUND(G13*100/O13-100,0)</f>
        <v>16</v>
      </c>
      <c r="V13" s="86" t="n">
        <f aca="false">ROUND(J13*100/O13-100,0)</f>
        <v>-8</v>
      </c>
      <c r="W13" s="86" t="n">
        <f aca="false">ROUND(M13*100/O13-100,0)</f>
        <v>-8</v>
      </c>
      <c r="X13" s="86" t="n">
        <f aca="false">O13/1.2</f>
        <v>2370.56</v>
      </c>
      <c r="Y13" s="86" t="n">
        <f aca="false">O13*1.2</f>
        <v>3413.6</v>
      </c>
      <c r="Z13" s="198" t="b">
        <f aca="false">AND((G13)&gt;=MIN(X13),(G13)&lt;=MAX(Y13))</f>
        <v>1</v>
      </c>
      <c r="AA13" s="133" t="n">
        <f aca="false">AND((J13)&gt;=MIN(X13),(J13)&lt;=MAX(Y13))</f>
        <v>1</v>
      </c>
      <c r="AB13" s="136" t="n">
        <f aca="false">AND((M13)&gt;=MIN(X13),(M13)&lt;=MAX(Y13))</f>
        <v>1</v>
      </c>
    </row>
    <row r="14" s="71" customFormat="true" ht="28.5" hidden="false" customHeight="true" outlineLevel="0" collapsed="false">
      <c r="A14" s="193" t="n">
        <v>4</v>
      </c>
      <c r="B14" s="57" t="s">
        <v>1112</v>
      </c>
      <c r="C14" s="125" t="s">
        <v>143</v>
      </c>
      <c r="D14" s="125" t="n">
        <v>20</v>
      </c>
      <c r="E14" s="126" t="n">
        <f aca="false">Q14</f>
        <v>195.4</v>
      </c>
      <c r="F14" s="34" t="s">
        <v>1113</v>
      </c>
      <c r="G14" s="34" t="n">
        <v>195.4</v>
      </c>
      <c r="H14" s="34" t="n">
        <f aca="false">G14*D14</f>
        <v>3908</v>
      </c>
      <c r="I14" s="34" t="s">
        <v>1110</v>
      </c>
      <c r="J14" s="34" t="n">
        <v>240.29</v>
      </c>
      <c r="K14" s="34" t="n">
        <f aca="false">J14*D14</f>
        <v>4805.8</v>
      </c>
      <c r="L14" s="34" t="s">
        <v>1111</v>
      </c>
      <c r="M14" s="34" t="n">
        <v>246.06</v>
      </c>
      <c r="N14" s="34" t="n">
        <f aca="false">D14*M14</f>
        <v>4921.2</v>
      </c>
      <c r="O14" s="196" t="n">
        <f aca="false">AVERAGE(G14,J14,M14)</f>
        <v>227.25</v>
      </c>
      <c r="P14" s="36" t="n">
        <f aca="false">E14*100/O14-100</f>
        <v>-14.015401540154</v>
      </c>
      <c r="Q14" s="197" t="n">
        <f aca="false">MIN(G14,J14,M14)</f>
        <v>195.4</v>
      </c>
      <c r="R14" s="128" t="n">
        <f aca="false">D14*E14</f>
        <v>3908</v>
      </c>
      <c r="S14" s="70"/>
      <c r="U14" s="86" t="n">
        <f aca="false">ROUND(G14*100/O14-100,0)</f>
        <v>-14</v>
      </c>
      <c r="V14" s="86" t="n">
        <f aca="false">ROUND(J14*100/O14-100,0)</f>
        <v>6</v>
      </c>
      <c r="W14" s="86" t="n">
        <f aca="false">ROUND(M14*100/O14-100,0)</f>
        <v>8</v>
      </c>
      <c r="X14" s="86" t="n">
        <f aca="false">O14/1.2</f>
        <v>189.38</v>
      </c>
      <c r="Y14" s="86" t="n">
        <f aca="false">O14*1.2</f>
        <v>272.7</v>
      </c>
      <c r="Z14" s="198" t="b">
        <f aca="false">AND((G14)&gt;=MIN(X14),(G14)&lt;=MAX(Y14))</f>
        <v>1</v>
      </c>
      <c r="AA14" s="133" t="n">
        <f aca="false">AND((J14)&gt;=MIN(X14),(J14)&lt;=MAX(Y14))</f>
        <v>1</v>
      </c>
      <c r="AB14" s="136" t="n">
        <f aca="false">AND((M14)&gt;=MIN(X14),(M14)&lt;=MAX(Y14))</f>
        <v>1</v>
      </c>
    </row>
    <row r="15" s="71" customFormat="true" ht="28.5" hidden="false" customHeight="true" outlineLevel="0" collapsed="false">
      <c r="A15" s="193" t="n">
        <v>5</v>
      </c>
      <c r="B15" s="57" t="s">
        <v>1114</v>
      </c>
      <c r="C15" s="125" t="s">
        <v>143</v>
      </c>
      <c r="D15" s="125" t="n">
        <v>8</v>
      </c>
      <c r="E15" s="126" t="n">
        <f aca="false">Q15</f>
        <v>170.8</v>
      </c>
      <c r="F15" s="34" t="s">
        <v>1113</v>
      </c>
      <c r="G15" s="34" t="n">
        <v>170.8</v>
      </c>
      <c r="H15" s="34" t="n">
        <f aca="false">G15*D15</f>
        <v>1366.4</v>
      </c>
      <c r="I15" s="34" t="s">
        <v>1110</v>
      </c>
      <c r="J15" s="34" t="n">
        <v>210.05</v>
      </c>
      <c r="K15" s="34" t="n">
        <f aca="false">J15*D15</f>
        <v>1680.4</v>
      </c>
      <c r="L15" s="34" t="s">
        <v>1111</v>
      </c>
      <c r="M15" s="34" t="n">
        <v>214.88</v>
      </c>
      <c r="N15" s="34" t="n">
        <f aca="false">D15*M15</f>
        <v>1719.04</v>
      </c>
      <c r="O15" s="196" t="n">
        <f aca="false">AVERAGE(G15,J15,M15)</f>
        <v>198.58</v>
      </c>
      <c r="P15" s="36" t="n">
        <f aca="false">E15*100/O15-100</f>
        <v>-13.989324201833</v>
      </c>
      <c r="Q15" s="197" t="n">
        <f aca="false">MIN(G15,J15,M15)</f>
        <v>170.8</v>
      </c>
      <c r="R15" s="128" t="n">
        <f aca="false">D15*E15</f>
        <v>1366.4</v>
      </c>
      <c r="S15" s="70"/>
      <c r="U15" s="86" t="n">
        <f aca="false">ROUND(G15*100/O15-100,0)</f>
        <v>-14</v>
      </c>
      <c r="V15" s="86" t="n">
        <f aca="false">ROUND(J15*100/O15-100,0)</f>
        <v>6</v>
      </c>
      <c r="W15" s="86" t="n">
        <f aca="false">ROUND(M15*100/O15-100,0)</f>
        <v>8</v>
      </c>
      <c r="X15" s="86" t="n">
        <f aca="false">O15/1.2</f>
        <v>165.48</v>
      </c>
      <c r="Y15" s="86" t="n">
        <f aca="false">O15*1.2</f>
        <v>238.3</v>
      </c>
      <c r="Z15" s="198" t="b">
        <f aca="false">AND((G15)&gt;=MIN(X15),(G15)&lt;=MAX(Y15))</f>
        <v>1</v>
      </c>
      <c r="AA15" s="133" t="n">
        <f aca="false">AND((J15)&gt;=MIN(X15),(J15)&lt;=MAX(Y15))</f>
        <v>1</v>
      </c>
      <c r="AB15" s="136" t="n">
        <f aca="false">AND((M15)&gt;=MIN(X15),(M15)&lt;=MAX(Y15))</f>
        <v>1</v>
      </c>
    </row>
    <row r="16" s="71" customFormat="true" ht="105" hidden="false" customHeight="true" outlineLevel="0" collapsed="false">
      <c r="A16" s="193" t="n">
        <v>6</v>
      </c>
      <c r="B16" s="57" t="s">
        <v>1115</v>
      </c>
      <c r="C16" s="125" t="s">
        <v>143</v>
      </c>
      <c r="D16" s="125" t="n">
        <v>1</v>
      </c>
      <c r="E16" s="126" t="n">
        <f aca="false">Q16</f>
        <v>40169.1</v>
      </c>
      <c r="F16" s="194" t="s">
        <v>1116</v>
      </c>
      <c r="G16" s="34" t="n">
        <f aca="false">47060/1.2*1.042</f>
        <v>40863.77</v>
      </c>
      <c r="H16" s="34" t="n">
        <f aca="false">G16*D16</f>
        <v>40863.77</v>
      </c>
      <c r="I16" s="194" t="s">
        <v>1117</v>
      </c>
      <c r="J16" s="34" t="n">
        <f aca="false">51400/1.2*1.042</f>
        <v>44632.33</v>
      </c>
      <c r="K16" s="34" t="n">
        <f aca="false">J16*D16</f>
        <v>44632.33</v>
      </c>
      <c r="L16" s="194" t="s">
        <v>1118</v>
      </c>
      <c r="M16" s="34" t="n">
        <f aca="false">46260/1.2*1.042</f>
        <v>40169.1</v>
      </c>
      <c r="N16" s="34" t="n">
        <f aca="false">D16*M16</f>
        <v>40169.1</v>
      </c>
      <c r="O16" s="196" t="n">
        <f aca="false">AVERAGE(G16,J16,M16)</f>
        <v>41888.4</v>
      </c>
      <c r="P16" s="36" t="n">
        <f aca="false">E16*100/O16-100</f>
        <v>-4.1044776119403</v>
      </c>
      <c r="Q16" s="197" t="n">
        <f aca="false">MIN(G16,J16,M16)</f>
        <v>40169.1</v>
      </c>
      <c r="R16" s="128" t="n">
        <f aca="false">D16*E16</f>
        <v>40169.1</v>
      </c>
      <c r="S16" s="70"/>
      <c r="U16" s="86" t="n">
        <f aca="false">ROUND(G16*100/O16-100,0)</f>
        <v>-2</v>
      </c>
      <c r="V16" s="86" t="n">
        <f aca="false">ROUND(J16*100/O16-100,0)</f>
        <v>7</v>
      </c>
      <c r="W16" s="86" t="n">
        <f aca="false">ROUND(M16*100/O16-100,0)</f>
        <v>-4</v>
      </c>
      <c r="X16" s="86" t="n">
        <f aca="false">O16/1.2</f>
        <v>34907</v>
      </c>
      <c r="Y16" s="86" t="n">
        <f aca="false">O16*1.2</f>
        <v>50266.08</v>
      </c>
      <c r="Z16" s="198" t="b">
        <f aca="false">AND((G16)&gt;=MIN(X16),(G16)&lt;=MAX(Y16))</f>
        <v>1</v>
      </c>
      <c r="AA16" s="133" t="n">
        <f aca="false">AND((J16)&gt;=MIN(X16),(J16)&lt;=MAX(Y16))</f>
        <v>1</v>
      </c>
      <c r="AB16" s="136" t="n">
        <f aca="false">AND((M16)&gt;=MIN(X16),(M16)&lt;=MAX(Y16))</f>
        <v>1</v>
      </c>
    </row>
    <row r="17" s="71" customFormat="true" ht="45" hidden="false" customHeight="true" outlineLevel="0" collapsed="false">
      <c r="A17" s="193" t="n">
        <v>7</v>
      </c>
      <c r="B17" s="57" t="s">
        <v>1119</v>
      </c>
      <c r="C17" s="125" t="s">
        <v>143</v>
      </c>
      <c r="D17" s="125" t="n">
        <v>21</v>
      </c>
      <c r="E17" s="126" t="n">
        <f aca="false">Q17</f>
        <v>4825</v>
      </c>
      <c r="F17" s="34" t="s">
        <v>1101</v>
      </c>
      <c r="G17" s="202" t="n">
        <v>4825</v>
      </c>
      <c r="H17" s="34" t="n">
        <f aca="false">G17*D17</f>
        <v>101325</v>
      </c>
      <c r="I17" s="194" t="s">
        <v>1120</v>
      </c>
      <c r="J17" s="34" t="n">
        <v>4900</v>
      </c>
      <c r="K17" s="34" t="n">
        <f aca="false">J17*D17</f>
        <v>102900</v>
      </c>
      <c r="L17" s="194" t="s">
        <v>1121</v>
      </c>
      <c r="M17" s="34" t="n">
        <f aca="false">6120/1.2</f>
        <v>5100</v>
      </c>
      <c r="N17" s="34" t="n">
        <f aca="false">D17*M17</f>
        <v>107100</v>
      </c>
      <c r="O17" s="196" t="n">
        <f aca="false">AVERAGE(G17,J17,M17)</f>
        <v>4941.67</v>
      </c>
      <c r="P17" s="36" t="n">
        <f aca="false">E17*100/O17-100</f>
        <v>-2.36094275821736</v>
      </c>
      <c r="Q17" s="197" t="n">
        <f aca="false">MIN(G17,J17,M17)</f>
        <v>4825</v>
      </c>
      <c r="R17" s="128" t="n">
        <f aca="false">D17*E17</f>
        <v>101325</v>
      </c>
      <c r="S17" s="70"/>
      <c r="U17" s="86" t="n">
        <f aca="false">ROUND(G17*100/O17-100,0)</f>
        <v>-2</v>
      </c>
      <c r="V17" s="86" t="n">
        <f aca="false">ROUND(J17*100/O17-100,0)</f>
        <v>-1</v>
      </c>
      <c r="W17" s="86" t="n">
        <f aca="false">ROUND(M17*100/O17-100,0)</f>
        <v>3</v>
      </c>
      <c r="X17" s="86" t="n">
        <f aca="false">O17/1.2</f>
        <v>4118.06</v>
      </c>
      <c r="Y17" s="86" t="n">
        <f aca="false">O17*1.2</f>
        <v>5930</v>
      </c>
      <c r="Z17" s="198" t="b">
        <f aca="false">AND((G17)&gt;=MIN(X17),(G17)&lt;=MAX(Y17))</f>
        <v>1</v>
      </c>
      <c r="AA17" s="133" t="n">
        <f aca="false">AND((J17)&gt;=MIN(X17),(J17)&lt;=MAX(Y17))</f>
        <v>1</v>
      </c>
      <c r="AB17" s="136" t="n">
        <f aca="false">AND((M17)&gt;=MIN(X17),(M17)&lt;=MAX(Y17))</f>
        <v>1</v>
      </c>
    </row>
    <row r="18" s="71" customFormat="true" ht="315" hidden="false" customHeight="true" outlineLevel="0" collapsed="false">
      <c r="A18" s="193" t="n">
        <v>8</v>
      </c>
      <c r="B18" s="57" t="s">
        <v>1122</v>
      </c>
      <c r="C18" s="125" t="s">
        <v>143</v>
      </c>
      <c r="D18" s="125" t="n">
        <v>1</v>
      </c>
      <c r="E18" s="126" t="n">
        <f aca="false">Q18</f>
        <v>57309.13</v>
      </c>
      <c r="F18" s="203" t="s">
        <v>1123</v>
      </c>
      <c r="G18" s="34" t="n">
        <f aca="false">(65999/1.2)*1.042</f>
        <v>57309.13</v>
      </c>
      <c r="H18" s="34" t="n">
        <f aca="false">G18*D18</f>
        <v>57309.13</v>
      </c>
      <c r="I18" s="194" t="s">
        <v>1120</v>
      </c>
      <c r="J18" s="34" t="n">
        <v>57850</v>
      </c>
      <c r="K18" s="34" t="n">
        <f aca="false">J18*D18</f>
        <v>57850</v>
      </c>
      <c r="L18" s="194" t="s">
        <v>1121</v>
      </c>
      <c r="M18" s="34" t="n">
        <f aca="false">69600/1.2</f>
        <v>58000</v>
      </c>
      <c r="N18" s="34" t="n">
        <f aca="false">D18*M18</f>
        <v>58000</v>
      </c>
      <c r="O18" s="196" t="n">
        <f aca="false">AVERAGE(G18,J18,M18)</f>
        <v>57719.71</v>
      </c>
      <c r="P18" s="36" t="n">
        <f aca="false">E18*100/O18-100</f>
        <v>-0.71133413525466</v>
      </c>
      <c r="Q18" s="197" t="n">
        <f aca="false">MIN(G18,J18,M18)</f>
        <v>57309.13</v>
      </c>
      <c r="R18" s="128" t="n">
        <f aca="false">D18*E18</f>
        <v>57309.13</v>
      </c>
      <c r="S18" s="70"/>
      <c r="U18" s="86" t="n">
        <f aca="false">ROUND(G18*100/O18-100,0)</f>
        <v>-1</v>
      </c>
      <c r="V18" s="86" t="n">
        <f aca="false">ROUND(J18*100/O18-100,0)</f>
        <v>0</v>
      </c>
      <c r="W18" s="86" t="n">
        <f aca="false">ROUND(M18*100/O18-100,0)</f>
        <v>0</v>
      </c>
      <c r="X18" s="86" t="n">
        <f aca="false">O18/1.2</f>
        <v>48099.76</v>
      </c>
      <c r="Y18" s="86" t="n">
        <f aca="false">O18*1.2</f>
        <v>69263.65</v>
      </c>
      <c r="Z18" s="198" t="b">
        <f aca="false">AND((G18)&gt;=MIN(X18),(G18)&lt;=MAX(Y18))</f>
        <v>1</v>
      </c>
      <c r="AA18" s="133" t="n">
        <f aca="false">AND((J18)&gt;=MIN(X18),(J18)&lt;=MAX(Y18))</f>
        <v>1</v>
      </c>
      <c r="AB18" s="136" t="n">
        <f aca="false">AND((M18)&gt;=MIN(X18),(M18)&lt;=MAX(Y18))</f>
        <v>1</v>
      </c>
    </row>
    <row r="19" s="71" customFormat="true" ht="28.5" hidden="false" customHeight="true" outlineLevel="0" collapsed="false">
      <c r="A19" s="193" t="n">
        <v>9</v>
      </c>
      <c r="B19" s="57" t="s">
        <v>1124</v>
      </c>
      <c r="C19" s="125" t="s">
        <v>143</v>
      </c>
      <c r="D19" s="125" t="n">
        <v>2</v>
      </c>
      <c r="E19" s="126" t="n">
        <f aca="false">Q19</f>
        <v>1146.07</v>
      </c>
      <c r="F19" s="34" t="s">
        <v>1113</v>
      </c>
      <c r="G19" s="34" t="n">
        <v>1146.07</v>
      </c>
      <c r="H19" s="34" t="n">
        <f aca="false">G19*D19</f>
        <v>2292.14</v>
      </c>
      <c r="I19" s="34" t="s">
        <v>1110</v>
      </c>
      <c r="J19" s="34" t="n">
        <v>1319.74</v>
      </c>
      <c r="K19" s="34" t="n">
        <f aca="false">J19*D19</f>
        <v>2639.48</v>
      </c>
      <c r="L19" s="34" t="s">
        <v>1111</v>
      </c>
      <c r="M19" s="34" t="n">
        <v>1351.42</v>
      </c>
      <c r="N19" s="34" t="n">
        <f aca="false">D19*M19</f>
        <v>2702.84</v>
      </c>
      <c r="O19" s="196" t="n">
        <f aca="false">AVERAGE(G19,J19,M19)</f>
        <v>1272.41</v>
      </c>
      <c r="P19" s="36" t="n">
        <f aca="false">E19*100/O19-100</f>
        <v>-9.92918949080878</v>
      </c>
      <c r="Q19" s="197" t="n">
        <f aca="false">MIN(G19,J19,M19)</f>
        <v>1146.07</v>
      </c>
      <c r="R19" s="128" t="n">
        <f aca="false">D19*E19</f>
        <v>2292.14</v>
      </c>
      <c r="S19" s="70"/>
      <c r="U19" s="86" t="n">
        <f aca="false">ROUND(G19*100/O19-100,0)</f>
        <v>-10</v>
      </c>
      <c r="V19" s="86" t="n">
        <f aca="false">ROUND(J19*100/O19-100,0)</f>
        <v>4</v>
      </c>
      <c r="W19" s="86" t="n">
        <f aca="false">ROUND(M19*100/O19-100,0)</f>
        <v>6</v>
      </c>
      <c r="X19" s="86" t="n">
        <f aca="false">O19/1.2</f>
        <v>1060.34</v>
      </c>
      <c r="Y19" s="86" t="n">
        <f aca="false">O19*1.2</f>
        <v>1526.89</v>
      </c>
      <c r="Z19" s="198" t="b">
        <f aca="false">AND((G19)&gt;=MIN(X19),(G19)&lt;=MAX(Y19))</f>
        <v>1</v>
      </c>
      <c r="AA19" s="133" t="n">
        <f aca="false">AND((J19)&gt;=MIN(X19),(J19)&lt;=MAX(Y19))</f>
        <v>1</v>
      </c>
      <c r="AB19" s="136" t="n">
        <f aca="false">AND((M19)&gt;=MIN(X19),(M19)&lt;=MAX(Y19))</f>
        <v>1</v>
      </c>
    </row>
    <row r="20" s="71" customFormat="true" ht="28.5" hidden="false" customHeight="true" outlineLevel="0" collapsed="false">
      <c r="A20" s="193" t="n">
        <v>10</v>
      </c>
      <c r="B20" s="57" t="s">
        <v>1125</v>
      </c>
      <c r="C20" s="125" t="s">
        <v>143</v>
      </c>
      <c r="D20" s="125" t="n">
        <v>1</v>
      </c>
      <c r="E20" s="126" t="n">
        <f aca="false">Q20</f>
        <v>100250.54</v>
      </c>
      <c r="F20" s="34" t="s">
        <v>1113</v>
      </c>
      <c r="G20" s="34" t="n">
        <v>100250.54</v>
      </c>
      <c r="H20" s="34" t="n">
        <f aca="false">G20*D20</f>
        <v>100250.54</v>
      </c>
      <c r="I20" s="34" t="s">
        <v>1110</v>
      </c>
      <c r="J20" s="34" t="n">
        <v>107514.33</v>
      </c>
      <c r="K20" s="34" t="n">
        <f aca="false">J20*D20</f>
        <v>107514.33</v>
      </c>
      <c r="L20" s="34" t="s">
        <v>1111</v>
      </c>
      <c r="M20" s="34" t="n">
        <v>112476.53</v>
      </c>
      <c r="N20" s="34" t="n">
        <f aca="false">D20*M20</f>
        <v>112476.53</v>
      </c>
      <c r="O20" s="196" t="n">
        <f aca="false">AVERAGE(G20,J20,M20)</f>
        <v>106747.13</v>
      </c>
      <c r="P20" s="36" t="n">
        <f aca="false">E20*100/O20-100</f>
        <v>-6.08596221743855</v>
      </c>
      <c r="Q20" s="197" t="n">
        <f aca="false">MIN(G20,J20,M20)</f>
        <v>100250.54</v>
      </c>
      <c r="R20" s="128" t="n">
        <f aca="false">D20*E20</f>
        <v>100250.54</v>
      </c>
      <c r="S20" s="70"/>
      <c r="U20" s="86" t="n">
        <f aca="false">ROUND(G20*100/O20-100,0)</f>
        <v>-6</v>
      </c>
      <c r="V20" s="86" t="n">
        <f aca="false">ROUND(J20*100/O20-100,0)</f>
        <v>1</v>
      </c>
      <c r="W20" s="86" t="n">
        <f aca="false">ROUND(M20*100/O20-100,0)</f>
        <v>5</v>
      </c>
      <c r="X20" s="86" t="n">
        <f aca="false">O20/1.2</f>
        <v>88955.94</v>
      </c>
      <c r="Y20" s="86" t="n">
        <f aca="false">O20*1.2</f>
        <v>128096.56</v>
      </c>
      <c r="Z20" s="198" t="b">
        <f aca="false">AND((G20)&gt;=MIN(X20),(G20)&lt;=MAX(Y20))</f>
        <v>1</v>
      </c>
      <c r="AA20" s="133" t="n">
        <f aca="false">AND((J20)&gt;=MIN(X20),(J20)&lt;=MAX(Y20))</f>
        <v>1</v>
      </c>
      <c r="AB20" s="136" t="n">
        <f aca="false">AND((M20)&gt;=MIN(X20),(M20)&lt;=MAX(Y20))</f>
        <v>1</v>
      </c>
    </row>
    <row r="21" s="71" customFormat="true" ht="86.25" hidden="false" customHeight="true" outlineLevel="0" collapsed="false">
      <c r="A21" s="193" t="n">
        <v>11</v>
      </c>
      <c r="B21" s="199" t="s">
        <v>1104</v>
      </c>
      <c r="C21" s="125" t="s">
        <v>143</v>
      </c>
      <c r="D21" s="125" t="n">
        <v>4</v>
      </c>
      <c r="E21" s="126" t="n">
        <f aca="false">Q21</f>
        <v>3386.5</v>
      </c>
      <c r="F21" s="200" t="s">
        <v>1105</v>
      </c>
      <c r="G21" s="34" t="n">
        <f aca="false">(3900/1.2)*1.042</f>
        <v>3386.5</v>
      </c>
      <c r="H21" s="34" t="n">
        <f aca="false">G21*D21</f>
        <v>13546</v>
      </c>
      <c r="I21" s="200" t="s">
        <v>1106</v>
      </c>
      <c r="J21" s="34" t="n">
        <v>3941.67</v>
      </c>
      <c r="K21" s="34" t="n">
        <f aca="false">J21*D21</f>
        <v>15766.68</v>
      </c>
      <c r="L21" s="204" t="s">
        <v>1107</v>
      </c>
      <c r="M21" s="34" t="n">
        <v>3870</v>
      </c>
      <c r="N21" s="34" t="n">
        <f aca="false">D21*M21</f>
        <v>15480</v>
      </c>
      <c r="O21" s="196" t="n">
        <f aca="false">AVERAGE(G21,J21,M21)</f>
        <v>3732.72</v>
      </c>
      <c r="P21" s="36" t="n">
        <f aca="false">E21*100/O21-100</f>
        <v>-9.27527379498061</v>
      </c>
      <c r="Q21" s="197" t="n">
        <f aca="false">MIN(G21,J21,M21)</f>
        <v>3386.5</v>
      </c>
      <c r="R21" s="128" t="n">
        <f aca="false">D21*E21</f>
        <v>13546</v>
      </c>
      <c r="S21" s="70"/>
      <c r="U21" s="86" t="n">
        <f aca="false">ROUND(G21*100/O21-100,0)</f>
        <v>-9</v>
      </c>
      <c r="V21" s="86" t="n">
        <f aca="false">ROUND(J21*100/O21-100,0)</f>
        <v>6</v>
      </c>
      <c r="W21" s="86" t="n">
        <f aca="false">ROUND(M21*100/O21-100,0)</f>
        <v>4</v>
      </c>
      <c r="X21" s="86" t="n">
        <f aca="false">O21/1.2</f>
        <v>3110.6</v>
      </c>
      <c r="Y21" s="86" t="n">
        <f aca="false">O21*1.2</f>
        <v>4479.26</v>
      </c>
      <c r="Z21" s="198" t="b">
        <f aca="false">AND((G21)&gt;=MIN(X21),(G21)&lt;=MAX(Y21))</f>
        <v>1</v>
      </c>
      <c r="AA21" s="133" t="n">
        <f aca="false">AND((J21)&gt;=MIN(X21),(J21)&lt;=MAX(Y21))</f>
        <v>1</v>
      </c>
      <c r="AB21" s="136" t="n">
        <f aca="false">AND((M21)&gt;=MIN(X21),(M21)&lt;=MAX(Y21))</f>
        <v>1</v>
      </c>
    </row>
    <row r="22" s="71" customFormat="true" ht="28.5" hidden="false" customHeight="true" outlineLevel="0" collapsed="false">
      <c r="A22" s="193" t="n">
        <v>12</v>
      </c>
      <c r="B22" s="57" t="s">
        <v>1126</v>
      </c>
      <c r="C22" s="125" t="s">
        <v>143</v>
      </c>
      <c r="D22" s="125" t="n">
        <v>4</v>
      </c>
      <c r="E22" s="126" t="n">
        <f aca="false">Q22</f>
        <v>1359.73</v>
      </c>
      <c r="F22" s="34" t="s">
        <v>1113</v>
      </c>
      <c r="G22" s="34" t="n">
        <v>1359.73</v>
      </c>
      <c r="H22" s="34" t="n">
        <f aca="false">G22*D22</f>
        <v>5438.92</v>
      </c>
      <c r="I22" s="34" t="s">
        <v>1110</v>
      </c>
      <c r="J22" s="34" t="n">
        <v>1471.54</v>
      </c>
      <c r="K22" s="34" t="n">
        <f aca="false">J22*D22</f>
        <v>5886.16</v>
      </c>
      <c r="L22" s="34" t="s">
        <v>1111</v>
      </c>
      <c r="M22" s="34" t="n">
        <v>1480.09</v>
      </c>
      <c r="N22" s="34" t="n">
        <f aca="false">D22*M22</f>
        <v>5920.36</v>
      </c>
      <c r="O22" s="196" t="n">
        <f aca="false">AVERAGE(G22,J22,M22)</f>
        <v>1437.12</v>
      </c>
      <c r="P22" s="36" t="n">
        <f aca="false">E22*100/O22-100</f>
        <v>-5.38507570696949</v>
      </c>
      <c r="Q22" s="197" t="n">
        <f aca="false">MIN(G22,J22,M22)</f>
        <v>1359.73</v>
      </c>
      <c r="R22" s="128" t="n">
        <f aca="false">D22*E22</f>
        <v>5438.92</v>
      </c>
      <c r="S22" s="70"/>
      <c r="U22" s="86" t="n">
        <f aca="false">ROUND(G22*100/O22-100,0)</f>
        <v>-5</v>
      </c>
      <c r="V22" s="86" t="n">
        <f aca="false">ROUND(J22*100/O22-100,0)</f>
        <v>2</v>
      </c>
      <c r="W22" s="86" t="n">
        <f aca="false">ROUND(M22*100/O22-100,0)</f>
        <v>3</v>
      </c>
      <c r="X22" s="86" t="n">
        <f aca="false">O22/1.2</f>
        <v>1197.6</v>
      </c>
      <c r="Y22" s="86" t="n">
        <f aca="false">O22*1.2</f>
        <v>1724.54</v>
      </c>
      <c r="Z22" s="198" t="b">
        <f aca="false">AND((G22)&gt;=MIN(X22),(G22)&lt;=MAX(Y22))</f>
        <v>1</v>
      </c>
      <c r="AA22" s="133" t="n">
        <f aca="false">AND((J22)&gt;=MIN(X22),(J22)&lt;=MAX(Y22))</f>
        <v>1</v>
      </c>
      <c r="AB22" s="136" t="n">
        <f aca="false">AND((M22)&gt;=MIN(X22),(M22)&lt;=MAX(Y22))</f>
        <v>1</v>
      </c>
    </row>
    <row r="23" s="71" customFormat="true" ht="95.45" hidden="false" customHeight="true" outlineLevel="0" collapsed="false">
      <c r="A23" s="193" t="n">
        <v>13</v>
      </c>
      <c r="B23" s="199" t="s">
        <v>1127</v>
      </c>
      <c r="C23" s="125" t="s">
        <v>143</v>
      </c>
      <c r="D23" s="125" t="n">
        <f aca="false">59+21</f>
        <v>80</v>
      </c>
      <c r="E23" s="126" t="n">
        <f aca="false">Q23</f>
        <v>1200.66</v>
      </c>
      <c r="F23" s="200" t="s">
        <v>1113</v>
      </c>
      <c r="G23" s="34" t="n">
        <v>1200.66</v>
      </c>
      <c r="H23" s="34" t="n">
        <f aca="false">G23*D23</f>
        <v>96052.8</v>
      </c>
      <c r="I23" s="200" t="s">
        <v>1106</v>
      </c>
      <c r="J23" s="34" t="n">
        <v>1372.5</v>
      </c>
      <c r="K23" s="34" t="n">
        <f aca="false">J23*D23</f>
        <v>109800</v>
      </c>
      <c r="L23" s="204" t="s">
        <v>1107</v>
      </c>
      <c r="M23" s="34" t="n">
        <v>1390.04</v>
      </c>
      <c r="N23" s="34" t="n">
        <f aca="false">D23*M23</f>
        <v>111203.2</v>
      </c>
      <c r="O23" s="196" t="n">
        <f aca="false">AVERAGE(G23,J23,M23)</f>
        <v>1321.07</v>
      </c>
      <c r="P23" s="36" t="n">
        <f aca="false">E23*100/O23-100</f>
        <v>-9.1145813620777</v>
      </c>
      <c r="Q23" s="197" t="n">
        <f aca="false">MIN(G23,J23,M23)</f>
        <v>1200.66</v>
      </c>
      <c r="R23" s="128" t="n">
        <f aca="false">D23*E23</f>
        <v>96052.8</v>
      </c>
      <c r="S23" s="70"/>
      <c r="U23" s="86" t="n">
        <f aca="false">ROUND(G23*100/O23-100,0)</f>
        <v>-9</v>
      </c>
      <c r="V23" s="86" t="n">
        <f aca="false">ROUND(J23*100/O23-100,0)</f>
        <v>4</v>
      </c>
      <c r="W23" s="86" t="n">
        <f aca="false">ROUND(M23*100/O23-100,0)</f>
        <v>5</v>
      </c>
      <c r="X23" s="86" t="n">
        <f aca="false">O23/1.2</f>
        <v>1100.89</v>
      </c>
      <c r="Y23" s="86" t="n">
        <f aca="false">O23*1.2</f>
        <v>1585.28</v>
      </c>
      <c r="Z23" s="198" t="b">
        <f aca="false">AND((G23)&gt;=MIN(X23),(G23)&lt;=MAX(Y23))</f>
        <v>1</v>
      </c>
      <c r="AA23" s="133" t="n">
        <f aca="false">AND((J23)&gt;=MIN(X23),(J23)&lt;=MAX(Y23))</f>
        <v>1</v>
      </c>
      <c r="AB23" s="136" t="n">
        <f aca="false">AND((M23)&gt;=MIN(X23),(M23)&lt;=MAX(Y23))</f>
        <v>1</v>
      </c>
    </row>
    <row r="24" s="71" customFormat="true" ht="64.7" hidden="false" customHeight="true" outlineLevel="0" collapsed="false">
      <c r="A24" s="193" t="n">
        <v>14</v>
      </c>
      <c r="B24" s="199" t="s">
        <v>1128</v>
      </c>
      <c r="C24" s="125" t="s">
        <v>143</v>
      </c>
      <c r="D24" s="125" t="n">
        <v>2</v>
      </c>
      <c r="E24" s="126" t="n">
        <f aca="false">Q24</f>
        <v>4254.83</v>
      </c>
      <c r="F24" s="200" t="s">
        <v>1129</v>
      </c>
      <c r="G24" s="34" t="n">
        <f aca="false">(4900/1.2)*1.042</f>
        <v>4254.83</v>
      </c>
      <c r="H24" s="34" t="n">
        <f aca="false">G24*D24</f>
        <v>8509.66</v>
      </c>
      <c r="I24" s="200" t="s">
        <v>1106</v>
      </c>
      <c r="J24" s="34" t="n">
        <v>4400</v>
      </c>
      <c r="K24" s="34" t="n">
        <f aca="false">J24*D24</f>
        <v>8800</v>
      </c>
      <c r="L24" s="204" t="s">
        <v>1107</v>
      </c>
      <c r="M24" s="34" t="n">
        <v>4332</v>
      </c>
      <c r="N24" s="34" t="n">
        <f aca="false">D24*M24</f>
        <v>8664</v>
      </c>
      <c r="O24" s="196" t="n">
        <f aca="false">AVERAGE(G24,J24,M24)</f>
        <v>4328.94</v>
      </c>
      <c r="P24" s="36" t="n">
        <f aca="false">E24*100/O24-100</f>
        <v>-1.71196643982128</v>
      </c>
      <c r="Q24" s="197" t="n">
        <f aca="false">MIN(G24,J24,M24)</f>
        <v>4254.83</v>
      </c>
      <c r="R24" s="128" t="n">
        <f aca="false">D24*E24</f>
        <v>8509.66</v>
      </c>
      <c r="S24" s="70"/>
      <c r="U24" s="86" t="n">
        <f aca="false">ROUND(G24*100/O24-100,0)</f>
        <v>-2</v>
      </c>
      <c r="V24" s="86" t="n">
        <f aca="false">ROUND(J24*100/O24-100,0)</f>
        <v>2</v>
      </c>
      <c r="W24" s="86" t="n">
        <f aca="false">ROUND(M24*100/O24-100,0)</f>
        <v>0</v>
      </c>
      <c r="X24" s="86" t="n">
        <f aca="false">O24/1.2</f>
        <v>3607.45</v>
      </c>
      <c r="Y24" s="86" t="n">
        <f aca="false">O24*1.2</f>
        <v>5194.73</v>
      </c>
      <c r="Z24" s="198" t="b">
        <f aca="false">AND((G24)&gt;=MIN(X24),(G24)&lt;=MAX(Y24))</f>
        <v>1</v>
      </c>
      <c r="AA24" s="133" t="n">
        <f aca="false">AND((J24)&gt;=MIN(X24),(J24)&lt;=MAX(Y24))</f>
        <v>1</v>
      </c>
      <c r="AB24" s="205" t="b">
        <f aca="false">AND((M24)&gt;=MIN(X24),(M24)&lt;=MAX(Y24))</f>
        <v>1</v>
      </c>
    </row>
    <row r="25" s="71" customFormat="true" ht="30" hidden="false" customHeight="true" outlineLevel="0" collapsed="false">
      <c r="A25" s="193" t="n">
        <v>15</v>
      </c>
      <c r="B25" s="57" t="s">
        <v>1130</v>
      </c>
      <c r="C25" s="125" t="s">
        <v>143</v>
      </c>
      <c r="D25" s="125" t="n">
        <v>4</v>
      </c>
      <c r="E25" s="126" t="n">
        <f aca="false">Q25</f>
        <v>32325</v>
      </c>
      <c r="F25" s="34" t="s">
        <v>1101</v>
      </c>
      <c r="G25" s="34" t="n">
        <v>32325</v>
      </c>
      <c r="H25" s="34" t="n">
        <f aca="false">G25*D25</f>
        <v>129300</v>
      </c>
      <c r="I25" s="194" t="s">
        <v>1102</v>
      </c>
      <c r="J25" s="34" t="n">
        <v>36204</v>
      </c>
      <c r="K25" s="34" t="n">
        <f aca="false">J25*D25</f>
        <v>144816</v>
      </c>
      <c r="L25" s="194" t="s">
        <v>1103</v>
      </c>
      <c r="M25" s="34" t="n">
        <v>37173</v>
      </c>
      <c r="N25" s="34" t="n">
        <f aca="false">D25*M25</f>
        <v>148692</v>
      </c>
      <c r="O25" s="196" t="n">
        <f aca="false">AVERAGE(G25,J25,M25)</f>
        <v>35234</v>
      </c>
      <c r="P25" s="36" t="n">
        <f aca="false">E25*100/O25-100</f>
        <v>-8.25622977805529</v>
      </c>
      <c r="Q25" s="197" t="n">
        <f aca="false">MIN(G25,J25,M25)</f>
        <v>32325</v>
      </c>
      <c r="R25" s="128" t="n">
        <f aca="false">D25*E25</f>
        <v>129300</v>
      </c>
      <c r="S25" s="70"/>
      <c r="U25" s="86" t="n">
        <f aca="false">ROUND(G25*100/O25-100,0)</f>
        <v>-8</v>
      </c>
      <c r="V25" s="86" t="n">
        <f aca="false">ROUND(J25*100/O25-100,0)</f>
        <v>3</v>
      </c>
      <c r="W25" s="86" t="n">
        <f aca="false">ROUND(M25*100/O25-100,0)</f>
        <v>6</v>
      </c>
      <c r="X25" s="86" t="n">
        <f aca="false">O25/1.2</f>
        <v>29361.67</v>
      </c>
      <c r="Y25" s="86" t="n">
        <f aca="false">O25*1.2</f>
        <v>42280.8</v>
      </c>
      <c r="Z25" s="198" t="b">
        <f aca="false">AND((G25)&gt;=MIN(X25),(G25)&lt;=MAX(Y25))</f>
        <v>1</v>
      </c>
      <c r="AA25" s="133" t="n">
        <f aca="false">AND((J25)&gt;=MIN(X25),(J25)&lt;=MAX(Y25))</f>
        <v>1</v>
      </c>
      <c r="AB25" s="136" t="n">
        <f aca="false">AND((M25)&gt;=MIN(X25),(M25)&lt;=MAX(Y25))</f>
        <v>1</v>
      </c>
    </row>
    <row r="26" s="71" customFormat="true" ht="28.5" hidden="false" customHeight="true" outlineLevel="0" collapsed="false">
      <c r="A26" s="193" t="n">
        <v>16</v>
      </c>
      <c r="B26" s="57" t="s">
        <v>1131</v>
      </c>
      <c r="C26" s="125" t="s">
        <v>143</v>
      </c>
      <c r="D26" s="125" t="n">
        <v>21</v>
      </c>
      <c r="E26" s="126" t="n">
        <f aca="false">Q26</f>
        <v>1380.55</v>
      </c>
      <c r="F26" s="34" t="s">
        <v>1113</v>
      </c>
      <c r="G26" s="34" t="n">
        <v>1380.55</v>
      </c>
      <c r="H26" s="34" t="n">
        <f aca="false">G26*D26</f>
        <v>28991.55</v>
      </c>
      <c r="I26" s="34" t="s">
        <v>1110</v>
      </c>
      <c r="J26" s="34" t="n">
        <v>1794.17</v>
      </c>
      <c r="K26" s="34" t="n">
        <f aca="false">J26*D26</f>
        <v>37677.57</v>
      </c>
      <c r="L26" s="34" t="s">
        <v>1111</v>
      </c>
      <c r="M26" s="34" t="n">
        <v>1831.89</v>
      </c>
      <c r="N26" s="34" t="n">
        <f aca="false">D26*M26</f>
        <v>38469.69</v>
      </c>
      <c r="O26" s="196" t="n">
        <f aca="false">AVERAGE(G26,J26,M26)</f>
        <v>1668.87</v>
      </c>
      <c r="P26" s="36" t="n">
        <f aca="false">E26*100/O26-100</f>
        <v>-17.2763606512191</v>
      </c>
      <c r="Q26" s="197" t="n">
        <f aca="false">MIN(G26,J26,M26)</f>
        <v>1380.55</v>
      </c>
      <c r="R26" s="128" t="n">
        <f aca="false">D26*E26</f>
        <v>28991.55</v>
      </c>
      <c r="S26" s="70"/>
      <c r="U26" s="86" t="n">
        <f aca="false">ROUND(G26*100/O26-100,0)</f>
        <v>-17</v>
      </c>
      <c r="V26" s="86" t="n">
        <f aca="false">ROUND(J26*100/O26-100,0)</f>
        <v>8</v>
      </c>
      <c r="W26" s="86" t="n">
        <f aca="false">ROUND(M26*100/O26-100,0)</f>
        <v>10</v>
      </c>
      <c r="X26" s="86" t="n">
        <f aca="false">O26/1.2</f>
        <v>1390.73</v>
      </c>
      <c r="Y26" s="86" t="n">
        <f aca="false">O26*1.2</f>
        <v>2002.64</v>
      </c>
      <c r="Z26" s="198" t="b">
        <f aca="false">AND((G26)&gt;=MIN(X26),(G26)&lt;=MAX(Y26))</f>
        <v>0</v>
      </c>
      <c r="AA26" s="133" t="n">
        <f aca="false">AND((J26)&gt;=MIN(X26),(J26)&lt;=MAX(Y26))</f>
        <v>1</v>
      </c>
      <c r="AB26" s="136" t="n">
        <f aca="false">AND((M26)&gt;=MIN(X26),(M26)&lt;=MAX(Y26))</f>
        <v>1</v>
      </c>
    </row>
    <row r="27" s="71" customFormat="true" ht="25.5" hidden="false" customHeight="true" outlineLevel="0" collapsed="false">
      <c r="A27" s="193" t="n">
        <v>17</v>
      </c>
      <c r="B27" s="57" t="s">
        <v>1132</v>
      </c>
      <c r="C27" s="125" t="s">
        <v>143</v>
      </c>
      <c r="D27" s="125" t="n">
        <v>1</v>
      </c>
      <c r="E27" s="126" t="n">
        <f aca="false">Q27</f>
        <v>1380.55</v>
      </c>
      <c r="F27" s="34" t="s">
        <v>1113</v>
      </c>
      <c r="G27" s="34" t="n">
        <v>1380.55</v>
      </c>
      <c r="H27" s="34" t="n">
        <f aca="false">G27*D27</f>
        <v>1380.55</v>
      </c>
      <c r="I27" s="34" t="s">
        <v>1110</v>
      </c>
      <c r="J27" s="34" t="n">
        <v>1794.17</v>
      </c>
      <c r="K27" s="34" t="n">
        <f aca="false">J27*D27</f>
        <v>1794.17</v>
      </c>
      <c r="L27" s="34" t="s">
        <v>1111</v>
      </c>
      <c r="M27" s="34" t="n">
        <v>1831.89</v>
      </c>
      <c r="N27" s="34" t="n">
        <f aca="false">D27*M27</f>
        <v>1831.89</v>
      </c>
      <c r="O27" s="196" t="n">
        <f aca="false">AVERAGE(G27,J27,M27)</f>
        <v>1668.87</v>
      </c>
      <c r="P27" s="36" t="n">
        <f aca="false">E27*100/O27-100</f>
        <v>-17.2763606512191</v>
      </c>
      <c r="Q27" s="197" t="n">
        <f aca="false">MIN(G27,J27,M27)</f>
        <v>1380.55</v>
      </c>
      <c r="R27" s="128" t="n">
        <f aca="false">D27*E27</f>
        <v>1380.55</v>
      </c>
      <c r="S27" s="70"/>
      <c r="U27" s="86" t="n">
        <f aca="false">ROUND(G27*100/O27-100,0)</f>
        <v>-17</v>
      </c>
      <c r="V27" s="86" t="n">
        <f aca="false">ROUND(J27*100/O27-100,0)</f>
        <v>8</v>
      </c>
      <c r="W27" s="86" t="n">
        <f aca="false">ROUND(M27*100/O27-100,0)</f>
        <v>10</v>
      </c>
      <c r="X27" s="86" t="n">
        <f aca="false">O27/1.2</f>
        <v>1390.73</v>
      </c>
      <c r="Y27" s="86" t="n">
        <f aca="false">O27*1.2</f>
        <v>2002.64</v>
      </c>
      <c r="Z27" s="198" t="b">
        <f aca="false">AND((G27)&gt;=MIN(X27),(G27)&lt;=MAX(Y27))</f>
        <v>0</v>
      </c>
      <c r="AA27" s="133" t="n">
        <f aca="false">AND((J27)&gt;=MIN(X27),(J27)&lt;=MAX(Y27))</f>
        <v>1</v>
      </c>
      <c r="AB27" s="136" t="n">
        <f aca="false">AND((M27)&gt;=MIN(X27),(M27)&lt;=MAX(Y27))</f>
        <v>1</v>
      </c>
    </row>
    <row r="28" s="71" customFormat="true" ht="86.25" hidden="false" customHeight="true" outlineLevel="0" collapsed="false">
      <c r="A28" s="193" t="n">
        <v>18</v>
      </c>
      <c r="B28" s="199" t="s">
        <v>1133</v>
      </c>
      <c r="C28" s="125" t="s">
        <v>143</v>
      </c>
      <c r="D28" s="125" t="n">
        <v>2</v>
      </c>
      <c r="E28" s="126" t="n">
        <f aca="false">Q28</f>
        <v>17586.25</v>
      </c>
      <c r="F28" s="34" t="s">
        <v>1134</v>
      </c>
      <c r="G28" s="34" t="n">
        <v>22225</v>
      </c>
      <c r="H28" s="34" t="n">
        <f aca="false">G28*D28</f>
        <v>44450</v>
      </c>
      <c r="I28" s="200" t="s">
        <v>1106</v>
      </c>
      <c r="J28" s="34" t="n">
        <v>17586.25</v>
      </c>
      <c r="K28" s="34" t="n">
        <f aca="false">J28*D28</f>
        <v>35172.5</v>
      </c>
      <c r="L28" s="204" t="s">
        <v>1107</v>
      </c>
      <c r="M28" s="34" t="n">
        <v>17779.7</v>
      </c>
      <c r="N28" s="34" t="n">
        <f aca="false">D28*M28</f>
        <v>35559.4</v>
      </c>
      <c r="O28" s="196" t="n">
        <f aca="false">AVERAGE(G28,J28,M28)</f>
        <v>19196.98</v>
      </c>
      <c r="P28" s="36" t="n">
        <f aca="false">E28*100/O28-100</f>
        <v>-8.39053851178674</v>
      </c>
      <c r="Q28" s="197" t="n">
        <f aca="false">MIN(G28,J28,M28)</f>
        <v>17586.25</v>
      </c>
      <c r="R28" s="128" t="n">
        <f aca="false">D28*E28</f>
        <v>35172.5</v>
      </c>
      <c r="S28" s="70"/>
      <c r="U28" s="86" t="n">
        <f aca="false">ROUND(G28*100/O28-100,0)</f>
        <v>16</v>
      </c>
      <c r="V28" s="86" t="n">
        <f aca="false">ROUND(J28*100/O28-100,0)</f>
        <v>-8</v>
      </c>
      <c r="W28" s="86" t="n">
        <f aca="false">ROUND(M28*100/O28-100,0)</f>
        <v>-7</v>
      </c>
      <c r="X28" s="86" t="n">
        <f aca="false">O28/1.2</f>
        <v>15997.48</v>
      </c>
      <c r="Y28" s="86" t="n">
        <f aca="false">O28*1.2</f>
        <v>23036.38</v>
      </c>
      <c r="Z28" s="198" t="b">
        <f aca="false">AND((G28)&gt;=MIN(X28),(G28)&lt;=MAX(Y28))</f>
        <v>1</v>
      </c>
      <c r="AA28" s="133" t="n">
        <f aca="false">AND((J28)&gt;=MIN(X28),(J28)&lt;=MAX(Y28))</f>
        <v>1</v>
      </c>
      <c r="AB28" s="136" t="n">
        <f aca="false">AND((M28)&gt;=MIN(X28),(M28)&lt;=MAX(Y28))</f>
        <v>1</v>
      </c>
    </row>
    <row r="29" s="71" customFormat="true" ht="63.75" hidden="false" customHeight="true" outlineLevel="0" collapsed="false">
      <c r="A29" s="193" t="n">
        <v>19</v>
      </c>
      <c r="B29" s="199" t="s">
        <v>1128</v>
      </c>
      <c r="C29" s="125" t="s">
        <v>143</v>
      </c>
      <c r="D29" s="125" t="n">
        <v>2</v>
      </c>
      <c r="E29" s="126" t="n">
        <f aca="false">Q29</f>
        <v>4254.83</v>
      </c>
      <c r="F29" s="200" t="s">
        <v>1129</v>
      </c>
      <c r="G29" s="34" t="n">
        <f aca="false">(4900/1.2)*1.042</f>
        <v>4254.83</v>
      </c>
      <c r="H29" s="34" t="n">
        <f aca="false">G29*D29</f>
        <v>8509.66</v>
      </c>
      <c r="I29" s="200" t="s">
        <v>1106</v>
      </c>
      <c r="J29" s="34" t="n">
        <v>4400</v>
      </c>
      <c r="K29" s="34" t="n">
        <f aca="false">J29*D29</f>
        <v>8800</v>
      </c>
      <c r="L29" s="204" t="s">
        <v>1107</v>
      </c>
      <c r="M29" s="34" t="n">
        <v>4332</v>
      </c>
      <c r="N29" s="34" t="n">
        <f aca="false">D29*M29</f>
        <v>8664</v>
      </c>
      <c r="O29" s="196" t="n">
        <f aca="false">AVERAGE(G29,J29,M29)</f>
        <v>4328.94</v>
      </c>
      <c r="P29" s="36" t="n">
        <f aca="false">E29*100/O29-100</f>
        <v>-1.71196643982128</v>
      </c>
      <c r="Q29" s="197" t="n">
        <f aca="false">MIN(G29,J29,M29)</f>
        <v>4254.83</v>
      </c>
      <c r="R29" s="128" t="n">
        <f aca="false">D29*E29</f>
        <v>8509.66</v>
      </c>
      <c r="S29" s="70"/>
      <c r="U29" s="86" t="n">
        <f aca="false">ROUND(G29*100/O29-100,0)</f>
        <v>-2</v>
      </c>
      <c r="V29" s="86" t="n">
        <f aca="false">ROUND(J29*100/O29-100,0)</f>
        <v>2</v>
      </c>
      <c r="W29" s="86" t="n">
        <f aca="false">ROUND(M29*100/O29-100,0)</f>
        <v>0</v>
      </c>
      <c r="X29" s="86" t="n">
        <f aca="false">O29/1.2</f>
        <v>3607.45</v>
      </c>
      <c r="Y29" s="86" t="n">
        <f aca="false">O29*1.2</f>
        <v>5194.73</v>
      </c>
      <c r="Z29" s="198" t="b">
        <f aca="false">AND((G29)&gt;=MIN(X29),(G29)&lt;=MAX(Y29))</f>
        <v>1</v>
      </c>
      <c r="AA29" s="133" t="n">
        <f aca="false">AND((J29)&gt;=MIN(X29),(J29)&lt;=MAX(Y29))</f>
        <v>1</v>
      </c>
      <c r="AB29" s="136" t="n">
        <f aca="false">AND((M29)&gt;=MIN(X29),(M29)&lt;=MAX(Y29))</f>
        <v>1</v>
      </c>
    </row>
    <row r="30" s="71" customFormat="true" ht="30" hidden="false" customHeight="true" outlineLevel="0" collapsed="false">
      <c r="A30" s="193" t="n">
        <v>20</v>
      </c>
      <c r="B30" s="57" t="s">
        <v>1130</v>
      </c>
      <c r="C30" s="125" t="s">
        <v>143</v>
      </c>
      <c r="D30" s="125" t="n">
        <v>4</v>
      </c>
      <c r="E30" s="126" t="n">
        <f aca="false">Q30</f>
        <v>32325</v>
      </c>
      <c r="F30" s="34" t="s">
        <v>1101</v>
      </c>
      <c r="G30" s="34" t="n">
        <v>32325</v>
      </c>
      <c r="H30" s="34" t="n">
        <f aca="false">G30*D30</f>
        <v>129300</v>
      </c>
      <c r="I30" s="194" t="s">
        <v>1102</v>
      </c>
      <c r="J30" s="34" t="n">
        <v>36204</v>
      </c>
      <c r="K30" s="34" t="n">
        <f aca="false">J30*D30</f>
        <v>144816</v>
      </c>
      <c r="L30" s="194" t="s">
        <v>1135</v>
      </c>
      <c r="M30" s="34" t="n">
        <v>37173</v>
      </c>
      <c r="N30" s="34" t="n">
        <f aca="false">D30*M30</f>
        <v>148692</v>
      </c>
      <c r="O30" s="196" t="n">
        <f aca="false">AVERAGE(G30,J30,M30)</f>
        <v>35234</v>
      </c>
      <c r="P30" s="36" t="n">
        <f aca="false">E30*100/O30-100</f>
        <v>-8.25622977805529</v>
      </c>
      <c r="Q30" s="197" t="n">
        <f aca="false">MIN(G30,J30,M30)</f>
        <v>32325</v>
      </c>
      <c r="R30" s="128" t="n">
        <f aca="false">D30*E30</f>
        <v>129300</v>
      </c>
      <c r="S30" s="70"/>
      <c r="U30" s="86" t="n">
        <f aca="false">ROUND(G30*100/O30-100,0)</f>
        <v>-8</v>
      </c>
      <c r="V30" s="86" t="n">
        <f aca="false">ROUND(J30*100/O30-100,0)</f>
        <v>3</v>
      </c>
      <c r="W30" s="86" t="n">
        <f aca="false">ROUND(M30*100/O30-100,0)</f>
        <v>6</v>
      </c>
      <c r="X30" s="86" t="n">
        <f aca="false">O30/1.2</f>
        <v>29361.67</v>
      </c>
      <c r="Y30" s="86" t="n">
        <f aca="false">O30*1.2</f>
        <v>42280.8</v>
      </c>
      <c r="Z30" s="198" t="b">
        <f aca="false">AND((G30)&gt;=MIN(X30),(G30)&lt;=MAX(Y30))</f>
        <v>1</v>
      </c>
      <c r="AA30" s="133" t="n">
        <f aca="false">AND((J30)&gt;=MIN(X30),(J30)&lt;=MAX(Y30))</f>
        <v>1</v>
      </c>
      <c r="AB30" s="136" t="n">
        <f aca="false">AND((M30)&gt;=MIN(X30),(M30)&lt;=MAX(Y30))</f>
        <v>1</v>
      </c>
    </row>
    <row r="31" s="71" customFormat="true" ht="86.25" hidden="false" customHeight="true" outlineLevel="0" collapsed="false">
      <c r="A31" s="193" t="n">
        <v>21</v>
      </c>
      <c r="B31" s="199" t="s">
        <v>1133</v>
      </c>
      <c r="C31" s="125" t="s">
        <v>143</v>
      </c>
      <c r="D31" s="125" t="n">
        <v>2</v>
      </c>
      <c r="E31" s="126" t="n">
        <f aca="false">Q31</f>
        <v>17586.25</v>
      </c>
      <c r="F31" s="34" t="s">
        <v>1134</v>
      </c>
      <c r="G31" s="34" t="n">
        <v>22225</v>
      </c>
      <c r="H31" s="34" t="n">
        <f aca="false">G31*D31</f>
        <v>44450</v>
      </c>
      <c r="I31" s="200" t="s">
        <v>1106</v>
      </c>
      <c r="J31" s="34" t="n">
        <v>17586.25</v>
      </c>
      <c r="K31" s="34" t="n">
        <f aca="false">J31*D31</f>
        <v>35172.5</v>
      </c>
      <c r="L31" s="204" t="s">
        <v>1107</v>
      </c>
      <c r="M31" s="34" t="n">
        <v>17779.7</v>
      </c>
      <c r="N31" s="34" t="n">
        <f aca="false">D31*M31</f>
        <v>35559.4</v>
      </c>
      <c r="O31" s="196" t="n">
        <f aca="false">AVERAGE(G31,J31,M31)</f>
        <v>19196.98</v>
      </c>
      <c r="P31" s="36" t="n">
        <f aca="false">E31*100/O31-100</f>
        <v>-8.39053851178674</v>
      </c>
      <c r="Q31" s="197" t="n">
        <f aca="false">MIN(G31,J31,M31)</f>
        <v>17586.25</v>
      </c>
      <c r="R31" s="128" t="n">
        <f aca="false">D31*E31</f>
        <v>35172.5</v>
      </c>
      <c r="S31" s="70"/>
      <c r="U31" s="86" t="n">
        <f aca="false">ROUND(G31*100/O31-100,0)</f>
        <v>16</v>
      </c>
      <c r="V31" s="86" t="n">
        <f aca="false">ROUND(J31*100/O31-100,0)</f>
        <v>-8</v>
      </c>
      <c r="W31" s="86" t="n">
        <f aca="false">ROUND(M31*100/O31-100,0)</f>
        <v>-7</v>
      </c>
      <c r="X31" s="86" t="n">
        <f aca="false">O31/1.2</f>
        <v>15997.48</v>
      </c>
      <c r="Y31" s="86" t="n">
        <f aca="false">O31*1.2</f>
        <v>23036.38</v>
      </c>
      <c r="Z31" s="198" t="b">
        <f aca="false">AND((G31)&gt;=MIN(X31),(G31)&lt;=MAX(Y31))</f>
        <v>1</v>
      </c>
      <c r="AA31" s="133" t="n">
        <f aca="false">AND((J31)&gt;=MIN(X31),(J31)&lt;=MAX(Y31))</f>
        <v>1</v>
      </c>
      <c r="AB31" s="136" t="n">
        <f aca="false">AND((M31)&gt;=MIN(X31),(M31)&lt;=MAX(Y31))</f>
        <v>1</v>
      </c>
    </row>
    <row r="32" s="208" customFormat="true" ht="90" hidden="false" customHeight="true" outlineLevel="0" collapsed="false">
      <c r="A32" s="193" t="n">
        <v>22</v>
      </c>
      <c r="B32" s="206" t="s">
        <v>1136</v>
      </c>
      <c r="C32" s="125" t="s">
        <v>143</v>
      </c>
      <c r="D32" s="207" t="n">
        <v>1</v>
      </c>
      <c r="E32" s="126" t="n">
        <f aca="false">Q32</f>
        <v>175.48</v>
      </c>
      <c r="F32" s="194" t="s">
        <v>1137</v>
      </c>
      <c r="G32" s="34" t="n">
        <f aca="false">256.2/1.2*1.042</f>
        <v>222.47</v>
      </c>
      <c r="H32" s="34" t="n">
        <f aca="false">G32*D32</f>
        <v>222.47</v>
      </c>
      <c r="I32" s="194" t="s">
        <v>1138</v>
      </c>
      <c r="J32" s="34" t="n">
        <f aca="false">206.94/1.2*1.042</f>
        <v>179.69</v>
      </c>
      <c r="K32" s="34" t="n">
        <f aca="false">J32*D32</f>
        <v>179.69</v>
      </c>
      <c r="L32" s="194" t="s">
        <v>1139</v>
      </c>
      <c r="M32" s="34" t="n">
        <f aca="false">202.09/1.2*1.042</f>
        <v>175.48</v>
      </c>
      <c r="N32" s="34" t="n">
        <f aca="false">D32*M32</f>
        <v>175.48</v>
      </c>
      <c r="O32" s="196" t="n">
        <f aca="false">AVERAGE(G32,J32,M32)</f>
        <v>192.55</v>
      </c>
      <c r="P32" s="36" t="n">
        <f aca="false">E32*100/O32-100</f>
        <v>-8.86522981043885</v>
      </c>
      <c r="Q32" s="197" t="n">
        <f aca="false">MIN(G32,J32,M32)</f>
        <v>175.48</v>
      </c>
      <c r="R32" s="128" t="n">
        <f aca="false">D32*E32</f>
        <v>175.48</v>
      </c>
      <c r="S32" s="70"/>
      <c r="T32" s="71"/>
      <c r="U32" s="86" t="n">
        <f aca="false">ROUND(G32*100/O32-100,0)</f>
        <v>16</v>
      </c>
      <c r="V32" s="86" t="n">
        <f aca="false">ROUND(J32*100/O32-100,0)</f>
        <v>-7</v>
      </c>
      <c r="W32" s="86" t="n">
        <f aca="false">ROUND(M32*100/O32-100,0)</f>
        <v>-9</v>
      </c>
      <c r="X32" s="86" t="n">
        <f aca="false">O32/1.2</f>
        <v>160.46</v>
      </c>
      <c r="Y32" s="86" t="n">
        <f aca="false">O32*1.2</f>
        <v>231.06</v>
      </c>
      <c r="Z32" s="198" t="b">
        <f aca="false">AND((G32)&gt;=MIN(X32),(G32)&lt;=MAX(Y32))</f>
        <v>1</v>
      </c>
      <c r="AA32" s="133" t="n">
        <f aca="false">AND((J32)&gt;=MIN(X32),(J32)&lt;=MAX(Y32))</f>
        <v>1</v>
      </c>
      <c r="AB32" s="136" t="n">
        <f aca="false">AND((M32)&gt;=MIN(X32),(M32)&lt;=MAX(Y32))</f>
        <v>1</v>
      </c>
    </row>
    <row r="33" s="208" customFormat="true" ht="15.75" hidden="false" customHeight="true" outlineLevel="0" collapsed="false">
      <c r="A33" s="193"/>
      <c r="B33" s="206"/>
      <c r="C33" s="207"/>
      <c r="D33" s="207"/>
      <c r="E33" s="126" t="n">
        <f aca="false">Q33</f>
        <v>0</v>
      </c>
      <c r="F33" s="194"/>
      <c r="G33" s="34"/>
      <c r="H33" s="34" t="n">
        <f aca="false">G33*D33</f>
        <v>0</v>
      </c>
      <c r="I33" s="194"/>
      <c r="J33" s="34"/>
      <c r="K33" s="34" t="n">
        <f aca="false">J33*D33</f>
        <v>0</v>
      </c>
      <c r="L33" s="194"/>
      <c r="M33" s="34"/>
      <c r="N33" s="34" t="n">
        <f aca="false">D33*M33</f>
        <v>0</v>
      </c>
      <c r="O33" s="196" t="e">
        <f aca="false">AVERAGE(G33,J33,M33)</f>
        <v>#DIV/0!</v>
      </c>
      <c r="P33" s="36" t="e">
        <f aca="false">E33*100/O33-100</f>
        <v>#DIV/0!</v>
      </c>
      <c r="Q33" s="36"/>
      <c r="R33" s="128" t="n">
        <f aca="false">D33*E33</f>
        <v>0</v>
      </c>
      <c r="S33" s="70"/>
      <c r="T33" s="71"/>
      <c r="U33" s="86" t="e">
        <f aca="false">ROUND(G33*100/O33-100,0)</f>
        <v>#DIV/0!</v>
      </c>
      <c r="V33" s="86" t="e">
        <f aca="false">ROUND(J33*100/O33-100,0)</f>
        <v>#DIV/0!</v>
      </c>
      <c r="W33" s="86" t="e">
        <f aca="false">ROUND(M33*100/O33-100,0)</f>
        <v>#DIV/0!</v>
      </c>
      <c r="X33" s="86" t="e">
        <f aca="false">O33/1.2</f>
        <v>#DIV/0!</v>
      </c>
      <c r="Y33" s="86" t="e">
        <f aca="false">O33*1.2</f>
        <v>#DIV/0!</v>
      </c>
      <c r="Z33" s="198" t="e">
        <f aca="false">AND((G33)&gt;=MIN(X33),(G33)&lt;=MAX(Y33))</f>
        <v>#DIV/0!</v>
      </c>
      <c r="AA33" s="133" t="e">
        <f aca="false">AND((J33)&gt;=MIN(X33),(J33)&lt;=MAX(Y33))</f>
        <v>#DIV/0!</v>
      </c>
      <c r="AB33" s="136" t="e">
        <f aca="false">AND((M33)&gt;=MIN(X33),(M33)&lt;=MAX(Y33))</f>
        <v>#DIV/0!</v>
      </c>
    </row>
    <row r="34" s="208" customFormat="true" ht="15.75" hidden="false" customHeight="true" outlineLevel="0" collapsed="false">
      <c r="A34" s="153"/>
      <c r="B34" s="153"/>
      <c r="C34" s="153"/>
      <c r="D34" s="153"/>
      <c r="E34" s="153"/>
      <c r="F34" s="153"/>
      <c r="G34" s="153"/>
      <c r="H34" s="153"/>
      <c r="I34" s="153"/>
      <c r="J34" s="153"/>
      <c r="K34" s="153"/>
      <c r="L34" s="153"/>
      <c r="M34" s="153"/>
      <c r="N34" s="153"/>
      <c r="O34" s="48"/>
      <c r="P34" s="209"/>
      <c r="Q34" s="209"/>
      <c r="R34" s="48" t="n">
        <f aca="false">SUM(R11:R33)</f>
        <v>1485962.11</v>
      </c>
      <c r="S34" s="210"/>
    </row>
    <row r="35" s="168" customFormat="true" ht="33" hidden="false" customHeight="true" outlineLevel="0" collapsed="false">
      <c r="A35" s="211"/>
      <c r="B35" s="212"/>
      <c r="C35" s="212"/>
      <c r="D35" s="212"/>
      <c r="E35" s="212"/>
      <c r="F35" s="212"/>
      <c r="G35" s="212"/>
      <c r="H35" s="212"/>
      <c r="I35" s="213"/>
      <c r="J35" s="211"/>
      <c r="K35" s="211"/>
      <c r="L35" s="211"/>
      <c r="M35" s="211"/>
      <c r="N35" s="211"/>
      <c r="O35" s="211"/>
      <c r="P35" s="211"/>
      <c r="Q35" s="211"/>
      <c r="R35" s="214"/>
      <c r="S35" s="211"/>
    </row>
  </sheetData>
  <autoFilter ref="A10:AB34"/>
  <mergeCells count="20">
    <mergeCell ref="O1:S1"/>
    <mergeCell ref="O2:S2"/>
    <mergeCell ref="A3:O3"/>
    <mergeCell ref="A5:P5"/>
    <mergeCell ref="A7:A9"/>
    <mergeCell ref="B7:B9"/>
    <mergeCell ref="C7:C9"/>
    <mergeCell ref="D7:D9"/>
    <mergeCell ref="E7:E9"/>
    <mergeCell ref="F7:H8"/>
    <mergeCell ref="I7:K8"/>
    <mergeCell ref="L7:N8"/>
    <mergeCell ref="O7:O9"/>
    <mergeCell ref="P7:P9"/>
    <mergeCell ref="Q7:Q9"/>
    <mergeCell ref="R7:R9"/>
    <mergeCell ref="S7:S9"/>
    <mergeCell ref="U7:W8"/>
    <mergeCell ref="A34:N34"/>
    <mergeCell ref="B35:H35"/>
  </mergeCells>
  <conditionalFormatting sqref="P33:Q34 P13:P34">
    <cfRule type="cellIs" priority="2" operator="greaterThan" aboveAverage="0" equalAverage="0" bottom="0" percent="0" rank="0" text="" dxfId="45">
      <formula>0</formula>
    </cfRule>
  </conditionalFormatting>
  <conditionalFormatting sqref="P33:Q33 P11:P33">
    <cfRule type="cellIs" priority="3" operator="greaterThan" aboveAverage="0" equalAverage="0" bottom="0" percent="0" rank="0" text="" dxfId="46">
      <formula>0</formula>
    </cfRule>
  </conditionalFormatting>
  <hyperlinks>
    <hyperlink ref="F16" r:id="rId2" display="https://td-rodionov.ru/catalog/sistemy_vodopodgotovki_i_vodoochistki_/filtr_pervichnoy_ochistki_vody/gidrotsiklonnyy_filtr/filtr_gidrotsiklonnyy_3_flantsy_v_komplekte.html"/>
    <hyperlink ref="I16" r:id="rId3" display="https://n-wt.ru/page61400073.html"/>
    <hyperlink ref="L16" r:id="rId4" display="https://www.nowa-tech.ru/gidrocziklonnyie-filtryi-dlya-vodyi/?ysclid=m7m4u5k28b327771040"/>
    <hyperlink ref="F32" r:id="rId5" display="https://ellcon.ru/shop/goods/vyiklyuchatel_avtomaticheskiy_modulnyiy_1p_B_25a_45ka_va47_29_KARAT_IEK_MVA20_1_025_B-29747"/>
    <hyperlink ref="I32" r:id="rId6" display="https://dats-system.ru/shop/goods/vyiklyuchatel_avtomaticheskiy_modulnyiy_1p_C_25a_45ka_va47_29_KARAT_IEK_MVA20_1_025_C-32695"/>
    <hyperlink ref="L32" r:id="rId7" display="https://www.tinko.ru/catalog/product/245148/"/>
  </hyperlinks>
  <printOptions headings="false" gridLines="false" gridLinesSet="true" horizontalCentered="false" verticalCentered="false"/>
  <pageMargins left="0.25" right="0.25" top="0.75" bottom="0.75" header="0.511811023622047" footer="0.511811023622047"/>
  <pageSetup paperSize="9" scale="35" fitToWidth="1" fitToHeight="1" pageOrder="downThenOver" orientation="landscape" blackAndWhite="false" draft="false" cellComments="none" horizontalDpi="300" verticalDpi="300" copies="1"/>
  <headerFooter differentFirst="false" differentOddEven="false">
    <oddHeader/>
    <oddFooter/>
  </headerFooter>
  <colBreaks count="1" manualBreakCount="1">
    <brk id="18" man="true" max="65535" min="0"/>
  </colBreaks>
  <drawing r:id="rId8"/>
  <legacyDrawing r:id="rId9"/>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S127"/>
  <sheetViews>
    <sheetView showFormulas="false" showGridLines="true" showRowColHeaders="true" showZeros="true" rightToLeft="false" tabSelected="false" showOutlineSymbols="true" defaultGridColor="true" view="pageBreakPreview" topLeftCell="A1" colorId="64" zoomScale="75" zoomScaleNormal="70" zoomScalePageLayoutView="75" workbookViewId="0">
      <pane xSplit="7" ySplit="10" topLeftCell="H105" activePane="bottomRight" state="frozen"/>
      <selection pane="topLeft" activeCell="A1" activeCellId="0" sqref="A1"/>
      <selection pane="topRight" activeCell="H1" activeCellId="0" sqref="H1"/>
      <selection pane="bottomLeft" activeCell="A105" activeCellId="0" sqref="A105"/>
      <selection pane="bottomRight" activeCell="A105" activeCellId="0" sqref="A105"/>
    </sheetView>
  </sheetViews>
  <sheetFormatPr defaultColWidth="8.8046875" defaultRowHeight="12.8" zeroHeight="false" outlineLevelRow="0" outlineLevelCol="1"/>
  <cols>
    <col collapsed="false" customWidth="true" hidden="false" outlineLevel="0" max="1" min="1" style="1" width="9.52"/>
    <col collapsed="false" customWidth="true" hidden="false" outlineLevel="0" max="2" min="2" style="1" width="35.37"/>
    <col collapsed="false" customWidth="true" hidden="false" outlineLevel="0" max="3" min="3" style="1" width="30.51"/>
    <col collapsed="false" customWidth="true" hidden="false" outlineLevel="0" max="4" min="4" style="1" width="58.8"/>
    <col collapsed="false" customWidth="true" hidden="false" outlineLevel="0" max="5" min="5" style="1" width="14.23"/>
    <col collapsed="false" customWidth="true" hidden="false" outlineLevel="0" max="6" min="6" style="1" width="20.51"/>
    <col collapsed="false" customWidth="true" hidden="false" outlineLevel="0" max="7" min="7" style="1" width="15.95"/>
    <col collapsed="false" customWidth="true" hidden="false" outlineLevel="0" max="8" min="8" style="1" width="28.8"/>
    <col collapsed="false" customWidth="true" hidden="false" outlineLevel="0" max="9" min="9" style="1" width="23.37"/>
    <col collapsed="false" customWidth="true" hidden="false" outlineLevel="0" max="10" min="10" style="1" width="26.09"/>
    <col collapsed="false" customWidth="true" hidden="false" outlineLevel="0" max="11" min="11" style="1" width="28.09"/>
    <col collapsed="false" customWidth="true" hidden="false" outlineLevel="0" max="12" min="12" style="1" width="27.23"/>
    <col collapsed="false" customWidth="true" hidden="false" outlineLevel="0" max="13" min="13" style="1" width="21.23"/>
    <col collapsed="false" customWidth="true" hidden="false" outlineLevel="0" max="14" min="14" style="1" width="24.23"/>
    <col collapsed="false" customWidth="true" hidden="false" outlineLevel="0" max="15" min="15" style="1" width="27.51"/>
    <col collapsed="false" customWidth="true" hidden="false" outlineLevel="0" max="16" min="16" style="1" width="26.37"/>
    <col collapsed="false" customWidth="true" hidden="false" outlineLevel="0" max="19" min="17" style="1" width="23.37"/>
    <col collapsed="false" customWidth="true" hidden="false" outlineLevel="0" max="20" min="20" style="1" width="40.66"/>
    <col collapsed="false" customWidth="true" hidden="true" outlineLevel="1" max="24" min="22" style="1" width="12.95"/>
    <col collapsed="false" customWidth="true" hidden="false" outlineLevel="0" max="26" min="25" style="1" width="10.8"/>
    <col collapsed="false" customWidth="true" hidden="false" outlineLevel="0" max="29" min="27" style="1" width="13.09"/>
    <col collapsed="false" customWidth="true" hidden="false" outlineLevel="0" max="30" min="30" style="1" width="15.37"/>
    <col collapsed="false" customWidth="true" hidden="false" outlineLevel="0" max="32" min="31" style="1" width="18.23"/>
    <col collapsed="false" customWidth="true" hidden="false" outlineLevel="0" max="33" min="33" style="1" width="16.51"/>
    <col collapsed="false" customWidth="true" hidden="false" outlineLevel="0" max="34" min="34" style="1" width="15.51"/>
    <col collapsed="false" customWidth="true" hidden="false" outlineLevel="0" max="35" min="35" style="1" width="16.8"/>
    <col collapsed="false" customWidth="true" hidden="false" outlineLevel="0" max="37" min="36" style="1" width="14.66"/>
    <col collapsed="false" customWidth="true" hidden="false" outlineLevel="0" max="38" min="38" style="1" width="21.09"/>
    <col collapsed="false" customWidth="true" hidden="false" outlineLevel="0" max="39" min="39" style="1" width="12.66"/>
    <col collapsed="false" customWidth="true" hidden="false" outlineLevel="0" max="40" min="40" style="1" width="16.8"/>
    <col collapsed="false" customWidth="true" hidden="false" outlineLevel="0" max="41" min="41" style="1" width="10.09"/>
    <col collapsed="false" customWidth="true" hidden="false" outlineLevel="0" max="42" min="42" style="1" width="10.8"/>
    <col collapsed="false" customWidth="true" hidden="false" outlineLevel="0" max="45" min="43" style="1" width="11.09"/>
  </cols>
  <sheetData>
    <row r="1" customFormat="false" ht="15" hidden="true" customHeight="true" outlineLevel="0" collapsed="false">
      <c r="Q1" s="2" t="s">
        <v>0</v>
      </c>
      <c r="R1" s="2"/>
      <c r="S1" s="2"/>
      <c r="T1" s="2"/>
    </row>
    <row r="2" customFormat="false" ht="32.25" hidden="true" customHeight="true" outlineLevel="0" collapsed="false">
      <c r="Q2" s="3" t="s">
        <v>1</v>
      </c>
      <c r="R2" s="3"/>
      <c r="S2" s="3"/>
      <c r="T2" s="3"/>
    </row>
    <row r="3" customFormat="false" ht="25.5" hidden="true" customHeight="true" outlineLevel="0" collapsed="false">
      <c r="A3" s="4" t="s">
        <v>2</v>
      </c>
      <c r="B3" s="4"/>
      <c r="C3" s="4"/>
      <c r="D3" s="4"/>
      <c r="E3" s="4"/>
      <c r="F3" s="4"/>
      <c r="G3" s="4"/>
      <c r="H3" s="4"/>
      <c r="I3" s="4"/>
      <c r="J3" s="4"/>
      <c r="K3" s="4"/>
      <c r="L3" s="4"/>
      <c r="M3" s="4"/>
      <c r="N3" s="4"/>
      <c r="O3" s="4"/>
      <c r="P3" s="4"/>
      <c r="Q3" s="4"/>
      <c r="R3" s="5"/>
      <c r="S3" s="5"/>
    </row>
    <row r="4" customFormat="false" ht="17.25" hidden="true" customHeight="true" outlineLevel="0" collapsed="false">
      <c r="A4" s="6"/>
      <c r="B4" s="6"/>
      <c r="C4" s="6"/>
      <c r="D4" s="6"/>
      <c r="E4" s="6"/>
      <c r="F4" s="6"/>
      <c r="G4" s="6"/>
      <c r="H4" s="6"/>
      <c r="I4" s="6"/>
      <c r="J4" s="6"/>
      <c r="K4" s="6"/>
      <c r="L4" s="6"/>
      <c r="M4" s="6"/>
      <c r="N4" s="6"/>
      <c r="O4" s="6"/>
      <c r="P4" s="6"/>
    </row>
    <row r="5" s="8" customFormat="true" ht="28.5" hidden="true" customHeight="true" outlineLevel="0" collapsed="false">
      <c r="A5" s="7" t="s">
        <v>3</v>
      </c>
      <c r="B5" s="7"/>
      <c r="C5" s="7"/>
      <c r="D5" s="7"/>
      <c r="E5" s="7"/>
      <c r="F5" s="7"/>
      <c r="G5" s="7"/>
      <c r="H5" s="7"/>
      <c r="I5" s="7"/>
      <c r="J5" s="7"/>
      <c r="K5" s="7"/>
      <c r="L5" s="7"/>
      <c r="M5" s="7"/>
      <c r="N5" s="7"/>
      <c r="O5" s="7"/>
      <c r="P5" s="7"/>
      <c r="Q5" s="7"/>
      <c r="R5" s="7"/>
    </row>
    <row r="6" s="8" customFormat="true" ht="15" hidden="true" customHeight="true" outlineLevel="0" collapsed="false"/>
    <row r="7" s="8" customFormat="true" ht="15.75" hidden="false" customHeight="true" outlineLevel="0" collapsed="false">
      <c r="A7" s="9" t="s">
        <v>4</v>
      </c>
      <c r="B7" s="11" t="s">
        <v>691</v>
      </c>
      <c r="C7" s="11" t="s">
        <v>1140</v>
      </c>
      <c r="D7" s="10" t="s">
        <v>5</v>
      </c>
      <c r="E7" s="11" t="s">
        <v>6</v>
      </c>
      <c r="F7" s="11" t="s">
        <v>7</v>
      </c>
      <c r="G7" s="12" t="s">
        <v>8</v>
      </c>
      <c r="H7" s="13" t="s">
        <v>9</v>
      </c>
      <c r="I7" s="13"/>
      <c r="J7" s="13"/>
      <c r="K7" s="13" t="s">
        <v>10</v>
      </c>
      <c r="L7" s="13"/>
      <c r="M7" s="13"/>
      <c r="N7" s="14" t="s">
        <v>11</v>
      </c>
      <c r="O7" s="14"/>
      <c r="P7" s="14"/>
      <c r="Q7" s="15" t="s">
        <v>12</v>
      </c>
      <c r="R7" s="16" t="s">
        <v>13</v>
      </c>
      <c r="S7" s="15" t="s">
        <v>14</v>
      </c>
      <c r="T7" s="11" t="s">
        <v>15</v>
      </c>
      <c r="V7" s="17" t="s">
        <v>16</v>
      </c>
      <c r="W7" s="17"/>
      <c r="X7" s="17"/>
      <c r="AD7" s="78" t="s">
        <v>9</v>
      </c>
      <c r="AE7" s="78"/>
      <c r="AF7" s="78"/>
      <c r="AG7" s="79" t="s">
        <v>10</v>
      </c>
      <c r="AH7" s="79"/>
      <c r="AI7" s="79"/>
      <c r="AJ7" s="80" t="s">
        <v>11</v>
      </c>
      <c r="AK7" s="80"/>
      <c r="AL7" s="80"/>
      <c r="AM7" s="81" t="s">
        <v>692</v>
      </c>
      <c r="AN7" s="81" t="s">
        <v>693</v>
      </c>
    </row>
    <row r="8" s="8" customFormat="true" ht="15.75" hidden="false" customHeight="true" outlineLevel="0" collapsed="false">
      <c r="A8" s="9"/>
      <c r="B8" s="11"/>
      <c r="C8" s="11"/>
      <c r="D8" s="10"/>
      <c r="E8" s="10"/>
      <c r="F8" s="10"/>
      <c r="G8" s="12"/>
      <c r="H8" s="13"/>
      <c r="I8" s="13"/>
      <c r="J8" s="13"/>
      <c r="K8" s="13"/>
      <c r="L8" s="13"/>
      <c r="M8" s="13"/>
      <c r="N8" s="14"/>
      <c r="O8" s="14"/>
      <c r="P8" s="14"/>
      <c r="Q8" s="15"/>
      <c r="R8" s="16"/>
      <c r="S8" s="15"/>
      <c r="T8" s="11"/>
      <c r="V8" s="17"/>
      <c r="W8" s="17"/>
      <c r="X8" s="17"/>
      <c r="AD8" s="78"/>
      <c r="AE8" s="78"/>
      <c r="AF8" s="78"/>
      <c r="AG8" s="79"/>
      <c r="AH8" s="79"/>
      <c r="AI8" s="79"/>
      <c r="AJ8" s="80"/>
      <c r="AK8" s="80"/>
      <c r="AL8" s="80"/>
      <c r="AM8" s="81"/>
      <c r="AN8" s="81"/>
    </row>
    <row r="9" s="21" customFormat="true" ht="94.5" hidden="false" customHeight="true" outlineLevel="0" collapsed="false">
      <c r="A9" s="9"/>
      <c r="B9" s="11"/>
      <c r="C9" s="11"/>
      <c r="D9" s="10"/>
      <c r="E9" s="11"/>
      <c r="F9" s="11"/>
      <c r="G9" s="12"/>
      <c r="H9" s="18" t="s">
        <v>17</v>
      </c>
      <c r="I9" s="19" t="s">
        <v>18</v>
      </c>
      <c r="J9" s="19" t="s">
        <v>19</v>
      </c>
      <c r="K9" s="18" t="s">
        <v>17</v>
      </c>
      <c r="L9" s="19" t="s">
        <v>18</v>
      </c>
      <c r="M9" s="19" t="s">
        <v>19</v>
      </c>
      <c r="N9" s="18" t="s">
        <v>17</v>
      </c>
      <c r="O9" s="19" t="s">
        <v>18</v>
      </c>
      <c r="P9" s="19" t="s">
        <v>20</v>
      </c>
      <c r="Q9" s="15"/>
      <c r="R9" s="16"/>
      <c r="S9" s="15"/>
      <c r="T9" s="11"/>
      <c r="U9" s="8"/>
      <c r="V9" s="20" t="s">
        <v>9</v>
      </c>
      <c r="W9" s="20" t="s">
        <v>10</v>
      </c>
      <c r="X9" s="20" t="s">
        <v>11</v>
      </c>
      <c r="Y9" s="8"/>
      <c r="Z9" s="8"/>
      <c r="AA9" s="8"/>
      <c r="AB9" s="8"/>
      <c r="AC9" s="8"/>
      <c r="AD9" s="82" t="s">
        <v>17</v>
      </c>
      <c r="AE9" s="82" t="s">
        <v>694</v>
      </c>
      <c r="AF9" s="82" t="s">
        <v>19</v>
      </c>
      <c r="AG9" s="82" t="s">
        <v>17</v>
      </c>
      <c r="AH9" s="82" t="s">
        <v>694</v>
      </c>
      <c r="AI9" s="82" t="s">
        <v>19</v>
      </c>
      <c r="AJ9" s="82" t="s">
        <v>17</v>
      </c>
      <c r="AK9" s="82" t="s">
        <v>695</v>
      </c>
      <c r="AL9" s="82" t="s">
        <v>20</v>
      </c>
      <c r="AM9" s="81"/>
      <c r="AN9" s="81"/>
    </row>
    <row r="10" s="26" customFormat="true" ht="15" hidden="false" customHeight="true" outlineLevel="0" collapsed="false">
      <c r="A10" s="22" t="n">
        <v>1</v>
      </c>
      <c r="B10" s="23"/>
      <c r="C10" s="23"/>
      <c r="D10" s="23" t="n">
        <v>2</v>
      </c>
      <c r="E10" s="24" t="n">
        <v>3</v>
      </c>
      <c r="F10" s="24" t="n">
        <v>4</v>
      </c>
      <c r="G10" s="24"/>
      <c r="H10" s="25" t="n">
        <v>5</v>
      </c>
      <c r="I10" s="25" t="n">
        <v>6</v>
      </c>
      <c r="J10" s="23" t="n">
        <v>7</v>
      </c>
      <c r="K10" s="25" t="n">
        <v>8</v>
      </c>
      <c r="L10" s="23" t="n">
        <v>9</v>
      </c>
      <c r="M10" s="23" t="n">
        <v>10</v>
      </c>
      <c r="N10" s="25" t="n">
        <v>11</v>
      </c>
      <c r="O10" s="23" t="n">
        <v>12</v>
      </c>
      <c r="P10" s="23" t="n">
        <v>12</v>
      </c>
      <c r="Q10" s="25" t="n">
        <v>15</v>
      </c>
      <c r="R10" s="25" t="n">
        <v>16</v>
      </c>
      <c r="S10" s="25" t="n">
        <v>17</v>
      </c>
      <c r="T10" s="25" t="n">
        <v>18</v>
      </c>
      <c r="V10" s="27"/>
      <c r="W10" s="27"/>
      <c r="X10" s="27"/>
    </row>
    <row r="11" s="38" customFormat="true" ht="104.25" hidden="false" customHeight="true" outlineLevel="0" collapsed="false">
      <c r="A11" s="28" t="n">
        <v>1</v>
      </c>
      <c r="B11" s="104" t="s">
        <v>696</v>
      </c>
      <c r="C11" s="215" t="s">
        <v>1141</v>
      </c>
      <c r="D11" s="29" t="s">
        <v>21</v>
      </c>
      <c r="E11" s="30" t="s">
        <v>22</v>
      </c>
      <c r="F11" s="31" t="n">
        <f aca="false">5182.5+42.5</f>
        <v>5225</v>
      </c>
      <c r="G11" s="32" t="n">
        <f aca="false">Q11</f>
        <v>2.8</v>
      </c>
      <c r="H11" s="95" t="s">
        <v>949</v>
      </c>
      <c r="I11" s="34" t="n">
        <f aca="false">310/1.2/85</f>
        <v>3.04</v>
      </c>
      <c r="J11" s="34" t="n">
        <f aca="false">F11*I11</f>
        <v>15884</v>
      </c>
      <c r="K11" s="95" t="s">
        <v>950</v>
      </c>
      <c r="L11" s="34" t="n">
        <f aca="false">258.4/1.2/85</f>
        <v>2.53</v>
      </c>
      <c r="M11" s="34" t="n">
        <f aca="false">F11*L11</f>
        <v>13219.25</v>
      </c>
      <c r="N11" s="95" t="s">
        <v>951</v>
      </c>
      <c r="O11" s="34" t="n">
        <f aca="false">290/1.2/85</f>
        <v>2.84</v>
      </c>
      <c r="P11" s="34" t="n">
        <f aca="false">F11*O11</f>
        <v>14839</v>
      </c>
      <c r="Q11" s="35" t="n">
        <f aca="false">AVERAGE(I11,L11,O11)</f>
        <v>2.8</v>
      </c>
      <c r="R11" s="36" t="n">
        <f aca="false">G11*100/Q11-100</f>
        <v>0</v>
      </c>
      <c r="S11" s="35" t="n">
        <f aca="false">Q11*F11</f>
        <v>14630</v>
      </c>
      <c r="T11" s="37"/>
      <c r="V11" s="39" t="n">
        <f aca="false">ROUND(I11*100/Q11-100,0)</f>
        <v>9</v>
      </c>
      <c r="W11" s="39" t="n">
        <f aca="false">ROUND(L11*100/Q11-100,0)</f>
        <v>-10</v>
      </c>
      <c r="X11" s="39" t="n">
        <f aca="false">ROUND(O11*100/Q11-100,0)</f>
        <v>1</v>
      </c>
      <c r="Y11" s="85" t="n">
        <f aca="false">Q11/1.2</f>
        <v>2.33</v>
      </c>
      <c r="Z11" s="85" t="n">
        <f aca="false">Q11*1.2</f>
        <v>3.36</v>
      </c>
      <c r="AA11" s="86" t="n">
        <f aca="false">AND((I11)&gt;=MIN(Y11),(I11)&lt;=MAX(Z11))</f>
        <v>1</v>
      </c>
      <c r="AB11" s="86" t="n">
        <f aca="false">AND((L11)&gt;=MIN(Y11),(L11)&lt;=MAX(Z11))</f>
        <v>1</v>
      </c>
      <c r="AC11" s="86" t="n">
        <f aca="false">AND((O11)&gt;=MIN(Y11),(O11)&lt;=MAX(Z11))</f>
        <v>1</v>
      </c>
      <c r="AD11" s="87"/>
      <c r="AE11" s="88"/>
      <c r="AF11" s="88" t="n">
        <f aca="false">AE11*F11</f>
        <v>0</v>
      </c>
      <c r="AG11" s="87"/>
      <c r="AH11" s="88"/>
      <c r="AI11" s="89" t="n">
        <f aca="false">AH11*F11</f>
        <v>0</v>
      </c>
      <c r="AJ11" s="87"/>
      <c r="AK11" s="90"/>
      <c r="AL11" s="89" t="n">
        <f aca="false">AK11*F11</f>
        <v>0</v>
      </c>
      <c r="AM11" s="91" t="e">
        <f aca="false">AVERAGE(AE11,AH11,AK11)</f>
        <v>#DIV/0!</v>
      </c>
      <c r="AN11" s="91" t="e">
        <f aca="false">((G11-AM11)/AM11)*100</f>
        <v>#DIV/0!</v>
      </c>
      <c r="AO11" s="92" t="e">
        <f aca="false">AM11/1.2</f>
        <v>#DIV/0!</v>
      </c>
      <c r="AP11" s="92" t="e">
        <f aca="false">AM11*1.2</f>
        <v>#DIV/0!</v>
      </c>
      <c r="AQ11" s="86" t="e">
        <f aca="false">AND((AE11)&gt;=MIN(AO11),(AE11)&lt;=MAX(AP11))</f>
        <v>#DIV/0!</v>
      </c>
      <c r="AR11" s="86" t="e">
        <f aca="false">AND((AH11)&gt;=MIN(AO11),(AH11)&lt;=MAX(AP11))</f>
        <v>#DIV/0!</v>
      </c>
      <c r="AS11" s="86" t="e">
        <f aca="false">AND((AK11)&gt;=MIN(AO11),(AK11)&lt;=MAX(AP11))</f>
        <v>#DIV/0!</v>
      </c>
    </row>
    <row r="12" s="38" customFormat="true" ht="104.25" hidden="false" customHeight="true" outlineLevel="0" collapsed="false">
      <c r="A12" s="28" t="n">
        <v>2</v>
      </c>
      <c r="B12" s="104" t="s">
        <v>1142</v>
      </c>
      <c r="C12" s="215" t="s">
        <v>1143</v>
      </c>
      <c r="D12" s="29" t="s">
        <v>26</v>
      </c>
      <c r="E12" s="30" t="s">
        <v>27</v>
      </c>
      <c r="F12" s="31" t="n">
        <v>8</v>
      </c>
      <c r="G12" s="32" t="n">
        <f aca="false">Q12</f>
        <v>654.08</v>
      </c>
      <c r="H12" s="95" t="s">
        <v>954</v>
      </c>
      <c r="I12" s="34" t="n">
        <f aca="false">1423/1.9/1.2</f>
        <v>624.12</v>
      </c>
      <c r="J12" s="34" t="n">
        <f aca="false">F12*I12</f>
        <v>4992.96</v>
      </c>
      <c r="K12" s="95" t="s">
        <v>955</v>
      </c>
      <c r="L12" s="34" t="n">
        <f aca="false">674/0.9/1.2</f>
        <v>624.07</v>
      </c>
      <c r="M12" s="34" t="n">
        <f aca="false">F12*L12</f>
        <v>4992.56</v>
      </c>
      <c r="N12" s="95" t="s">
        <v>956</v>
      </c>
      <c r="O12" s="34" t="n">
        <f aca="false">1628/1.9/1.2</f>
        <v>714.04</v>
      </c>
      <c r="P12" s="34" t="n">
        <f aca="false">F12*O12</f>
        <v>5712.32</v>
      </c>
      <c r="Q12" s="35" t="n">
        <f aca="false">AVERAGE(I12,L12,O12)</f>
        <v>654.08</v>
      </c>
      <c r="R12" s="36" t="n">
        <f aca="false">G12*100/Q12-100</f>
        <v>0</v>
      </c>
      <c r="S12" s="35" t="n">
        <f aca="false">Q12*F12</f>
        <v>5232.64</v>
      </c>
      <c r="T12" s="37"/>
      <c r="V12" s="39" t="n">
        <f aca="false">ROUND(I12*100/Q12-100,0)</f>
        <v>-5</v>
      </c>
      <c r="W12" s="39" t="n">
        <f aca="false">ROUND(L12*100/Q12-100,0)</f>
        <v>-5</v>
      </c>
      <c r="X12" s="39" t="n">
        <f aca="false">ROUND(O12*100/Q12-100,0)</f>
        <v>9</v>
      </c>
      <c r="Y12" s="85" t="n">
        <f aca="false">Q12/1.2</f>
        <v>545.07</v>
      </c>
      <c r="Z12" s="85" t="n">
        <f aca="false">Q12*1.2</f>
        <v>784.9</v>
      </c>
      <c r="AA12" s="86" t="n">
        <f aca="false">AND((I12)&gt;=MIN(Y12),(I12)&lt;=MAX(Z12))</f>
        <v>1</v>
      </c>
      <c r="AB12" s="86" t="n">
        <f aca="false">AND((L12)&gt;=MIN(Y12),(L12)&lt;=MAX(Z12))</f>
        <v>1</v>
      </c>
      <c r="AC12" s="86" t="n">
        <f aca="false">AND((O12)&gt;=MIN(Y12),(O12)&lt;=MAX(Z12))</f>
        <v>1</v>
      </c>
      <c r="AD12" s="87"/>
      <c r="AE12" s="88"/>
      <c r="AF12" s="88" t="n">
        <f aca="false">AE12*F12</f>
        <v>0</v>
      </c>
      <c r="AG12" s="87"/>
      <c r="AH12" s="88"/>
      <c r="AI12" s="89" t="n">
        <f aca="false">AH12*F12</f>
        <v>0</v>
      </c>
      <c r="AJ12" s="87"/>
      <c r="AK12" s="90"/>
      <c r="AL12" s="89" t="n">
        <f aca="false">AK12*F12</f>
        <v>0</v>
      </c>
      <c r="AM12" s="91" t="e">
        <f aca="false">AVERAGE(AE12,AH12,AK12)</f>
        <v>#DIV/0!</v>
      </c>
      <c r="AN12" s="91" t="e">
        <f aca="false">((G12-AM12)/AM12)*100</f>
        <v>#DIV/0!</v>
      </c>
      <c r="AO12" s="92" t="e">
        <f aca="false">AM12/1.2</f>
        <v>#DIV/0!</v>
      </c>
      <c r="AP12" s="92" t="e">
        <f aca="false">AM12*1.2</f>
        <v>#DIV/0!</v>
      </c>
      <c r="AQ12" s="86" t="e">
        <f aca="false">AND((AE12)&gt;=MIN(AO12),(AE12)&lt;=MAX(AP12))</f>
        <v>#DIV/0!</v>
      </c>
      <c r="AR12" s="86" t="e">
        <f aca="false">AND((AH12)&gt;=MIN(AO12),(AH12)&lt;=MAX(AP12))</f>
        <v>#DIV/0!</v>
      </c>
      <c r="AS12" s="86" t="e">
        <f aca="false">AND((AK12)&gt;=MIN(AO12),(AK12)&lt;=MAX(AP12))</f>
        <v>#DIV/0!</v>
      </c>
    </row>
    <row r="13" s="38" customFormat="true" ht="104.25" hidden="false" customHeight="true" outlineLevel="0" collapsed="false">
      <c r="A13" s="28" t="n">
        <v>3</v>
      </c>
      <c r="B13" s="216"/>
      <c r="C13" s="217"/>
      <c r="D13" s="29" t="s">
        <v>31</v>
      </c>
      <c r="E13" s="30" t="s">
        <v>27</v>
      </c>
      <c r="F13" s="31" t="n">
        <v>15</v>
      </c>
      <c r="G13" s="32" t="n">
        <f aca="false">Q13</f>
        <v>878.4</v>
      </c>
      <c r="H13" s="33" t="s">
        <v>32</v>
      </c>
      <c r="I13" s="34" t="n">
        <f aca="false">945/0.9/1.2</f>
        <v>875</v>
      </c>
      <c r="J13" s="34" t="n">
        <f aca="false">F13*I13</f>
        <v>13125</v>
      </c>
      <c r="K13" s="33" t="s">
        <v>33</v>
      </c>
      <c r="L13" s="34" t="n">
        <f aca="false">990/0.9/1.2</f>
        <v>916.67</v>
      </c>
      <c r="M13" s="34" t="n">
        <f aca="false">F13*L13</f>
        <v>13750.05</v>
      </c>
      <c r="N13" s="33" t="s">
        <v>34</v>
      </c>
      <c r="O13" s="34" t="n">
        <f aca="false">911/0.9/1.2</f>
        <v>843.52</v>
      </c>
      <c r="P13" s="34" t="n">
        <f aca="false">F13*O13</f>
        <v>12652.8</v>
      </c>
      <c r="Q13" s="35" t="n">
        <f aca="false">AVERAGE(I13,L13,O13)</f>
        <v>878.4</v>
      </c>
      <c r="R13" s="36" t="n">
        <f aca="false">G13*100/Q13-100</f>
        <v>0</v>
      </c>
      <c r="S13" s="35" t="n">
        <f aca="false">Q13*F13</f>
        <v>13176</v>
      </c>
      <c r="T13" s="37"/>
      <c r="V13" s="39" t="n">
        <f aca="false">ROUND(I13*100/Q13-100,0)</f>
        <v>-0</v>
      </c>
      <c r="W13" s="39" t="n">
        <f aca="false">ROUND(L13*100/Q13-100,0)</f>
        <v>4</v>
      </c>
      <c r="X13" s="39" t="n">
        <f aca="false">ROUND(O13*100/Q13-100,0)</f>
        <v>-4</v>
      </c>
      <c r="Y13" s="85" t="n">
        <f aca="false">Q13/1.2</f>
        <v>732</v>
      </c>
      <c r="Z13" s="85" t="n">
        <f aca="false">Q13*1.2</f>
        <v>1054.08</v>
      </c>
      <c r="AA13" s="86" t="n">
        <f aca="false">AND((I13)&gt;=MIN(Y13),(I13)&lt;=MAX(Z13))</f>
        <v>1</v>
      </c>
      <c r="AB13" s="86" t="n">
        <f aca="false">AND((L13)&gt;=MIN(Y13),(L13)&lt;=MAX(Z13))</f>
        <v>1</v>
      </c>
      <c r="AC13" s="86" t="n">
        <f aca="false">AND((O13)&gt;=MIN(Y13),(O13)&lt;=MAX(Z13))</f>
        <v>1</v>
      </c>
      <c r="AD13" s="94" t="s">
        <v>698</v>
      </c>
      <c r="AE13" s="88" t="n">
        <f aca="false">1519/1.2/1.9</f>
        <v>666.23</v>
      </c>
      <c r="AF13" s="88" t="n">
        <f aca="false">AE13*F13</f>
        <v>9993.45</v>
      </c>
      <c r="AG13" s="87" t="s">
        <v>699</v>
      </c>
      <c r="AH13" s="88" t="n">
        <f aca="false">1480/1.2/1.9</f>
        <v>649.12</v>
      </c>
      <c r="AI13" s="89" t="n">
        <f aca="false">AH13*F13</f>
        <v>9736.8</v>
      </c>
      <c r="AJ13" s="87" t="s">
        <v>700</v>
      </c>
      <c r="AK13" s="90" t="n">
        <f aca="false">1430/1.2/1.9</f>
        <v>627.19</v>
      </c>
      <c r="AL13" s="89" t="n">
        <f aca="false">AK13*F13</f>
        <v>9407.85</v>
      </c>
      <c r="AM13" s="91" t="n">
        <f aca="false">AVERAGE(AE13,AH13,AK13)</f>
        <v>647.51</v>
      </c>
      <c r="AN13" s="91" t="n">
        <f aca="false">((G13-AM13)/AM13)*100</f>
        <v>35.66</v>
      </c>
      <c r="AO13" s="92" t="n">
        <f aca="false">AM13/1.2</f>
        <v>539.59</v>
      </c>
      <c r="AP13" s="92" t="n">
        <f aca="false">AM13*1.2</f>
        <v>777.01</v>
      </c>
      <c r="AQ13" s="86" t="n">
        <f aca="false">AND((AE13)&gt;=MIN(AO13),(AE13)&lt;=MAX(AP13))</f>
        <v>1</v>
      </c>
      <c r="AR13" s="86" t="n">
        <f aca="false">AND((AH13)&gt;=MIN(AO13),(AH13)&lt;=MAX(AP13))</f>
        <v>1</v>
      </c>
      <c r="AS13" s="86" t="n">
        <f aca="false">AND((AK13)&gt;=MIN(AO13),(AK13)&lt;=MAX(AP13))</f>
        <v>1</v>
      </c>
    </row>
    <row r="14" s="38" customFormat="true" ht="104.25" hidden="false" customHeight="true" outlineLevel="0" collapsed="false">
      <c r="A14" s="28" t="n">
        <v>4</v>
      </c>
      <c r="B14" s="216"/>
      <c r="C14" s="217"/>
      <c r="D14" s="29" t="s">
        <v>35</v>
      </c>
      <c r="E14" s="30" t="s">
        <v>27</v>
      </c>
      <c r="F14" s="31" t="n">
        <v>6</v>
      </c>
      <c r="G14" s="32" t="n">
        <f aca="false">Q14</f>
        <v>811.42</v>
      </c>
      <c r="H14" s="33" t="s">
        <v>36</v>
      </c>
      <c r="I14" s="34" t="n">
        <f aca="false">920/0.9/1.2</f>
        <v>851.85</v>
      </c>
      <c r="J14" s="34" t="n">
        <f aca="false">F14*I14</f>
        <v>5111.1</v>
      </c>
      <c r="K14" s="33" t="s">
        <v>37</v>
      </c>
      <c r="L14" s="34" t="n">
        <f aca="false">902/0.9/1.2</f>
        <v>835.19</v>
      </c>
      <c r="M14" s="34" t="n">
        <f aca="false">F14*L14</f>
        <v>5011.14</v>
      </c>
      <c r="N14" s="33" t="s">
        <v>38</v>
      </c>
      <c r="O14" s="34" t="n">
        <f aca="false">807/0.9/1.2</f>
        <v>747.22</v>
      </c>
      <c r="P14" s="34" t="n">
        <f aca="false">F14*O14</f>
        <v>4483.32</v>
      </c>
      <c r="Q14" s="35" t="n">
        <f aca="false">AVERAGE(I14,L14,O14)</f>
        <v>811.42</v>
      </c>
      <c r="R14" s="36" t="n">
        <f aca="false">G14*100/Q14-100</f>
        <v>0</v>
      </c>
      <c r="S14" s="35" t="n">
        <f aca="false">Q14*F14</f>
        <v>4868.52</v>
      </c>
      <c r="T14" s="37"/>
      <c r="V14" s="39" t="n">
        <f aca="false">ROUND(I14*100/Q14-100,0)</f>
        <v>5</v>
      </c>
      <c r="W14" s="39" t="n">
        <f aca="false">ROUND(L14*100/Q14-100,0)</f>
        <v>3</v>
      </c>
      <c r="X14" s="39" t="n">
        <f aca="false">ROUND(O14*100/Q14-100,0)</f>
        <v>-8</v>
      </c>
      <c r="Y14" s="85" t="n">
        <f aca="false">Q14/1.2</f>
        <v>676.18</v>
      </c>
      <c r="Z14" s="85" t="n">
        <f aca="false">Q14*1.2</f>
        <v>973.7</v>
      </c>
      <c r="AA14" s="86" t="n">
        <f aca="false">AND((I14)&gt;=MIN(Y14),(I14)&lt;=MAX(Z14))</f>
        <v>1</v>
      </c>
      <c r="AB14" s="86" t="n">
        <f aca="false">AND((L14)&gt;=MIN(Y14),(L14)&lt;=MAX(Z14))</f>
        <v>1</v>
      </c>
      <c r="AC14" s="86" t="n">
        <f aca="false">AND((O14)&gt;=MIN(Y14),(O14)&lt;=MAX(Z14))</f>
        <v>1</v>
      </c>
      <c r="AD14" s="87" t="s">
        <v>701</v>
      </c>
      <c r="AE14" s="88" t="n">
        <f aca="false">1312/1.2/1.9</f>
        <v>575.44</v>
      </c>
      <c r="AF14" s="88" t="n">
        <f aca="false">AE14*F14</f>
        <v>3452.64</v>
      </c>
      <c r="AG14" s="95" t="s">
        <v>702</v>
      </c>
      <c r="AH14" s="88" t="n">
        <f aca="false">1628/1.2/1.9</f>
        <v>714.04</v>
      </c>
      <c r="AI14" s="89" t="n">
        <f aca="false">AH14*F14</f>
        <v>4284.24</v>
      </c>
      <c r="AJ14" s="95" t="s">
        <v>703</v>
      </c>
      <c r="AK14" s="96" t="n">
        <f aca="false">1770/1.2/1.9</f>
        <v>776.32</v>
      </c>
      <c r="AL14" s="89" t="n">
        <f aca="false">AK14*F14</f>
        <v>4657.92</v>
      </c>
      <c r="AM14" s="91" t="n">
        <f aca="false">AVERAGE(AE14,AH14,AK14)</f>
        <v>688.6</v>
      </c>
      <c r="AN14" s="91" t="n">
        <f aca="false">((G14-AM14)/AM14)*100</f>
        <v>17.84</v>
      </c>
      <c r="AO14" s="92" t="n">
        <f aca="false">AM14/1.2</f>
        <v>573.83</v>
      </c>
      <c r="AP14" s="92" t="n">
        <f aca="false">AM14*1.2</f>
        <v>826.32</v>
      </c>
      <c r="AQ14" s="86" t="n">
        <f aca="false">AND((AE14)&gt;=MIN(AO14),(AE14)&lt;=MAX(AP14))</f>
        <v>1</v>
      </c>
      <c r="AR14" s="86" t="n">
        <f aca="false">AND((AH14)&gt;=MIN(AO14),(AH14)&lt;=MAX(AP14))</f>
        <v>1</v>
      </c>
      <c r="AS14" s="86" t="n">
        <f aca="false">AND((AK14)&gt;=MIN(AO14),(AK14)&lt;=MAX(AP14))</f>
        <v>1</v>
      </c>
    </row>
    <row r="15" s="38" customFormat="true" ht="104.25" hidden="false" customHeight="true" outlineLevel="0" collapsed="false">
      <c r="A15" s="28" t="n">
        <v>5</v>
      </c>
      <c r="B15" s="102" t="s">
        <v>704</v>
      </c>
      <c r="C15" s="218" t="s">
        <v>1144</v>
      </c>
      <c r="D15" s="29" t="s">
        <v>39</v>
      </c>
      <c r="E15" s="30" t="s">
        <v>40</v>
      </c>
      <c r="F15" s="31" t="n">
        <v>320</v>
      </c>
      <c r="G15" s="32" t="n">
        <f aca="false">Q15</f>
        <v>8.19</v>
      </c>
      <c r="H15" s="95" t="s">
        <v>41</v>
      </c>
      <c r="I15" s="34" t="n">
        <f aca="false">9.5/1.2</f>
        <v>7.92</v>
      </c>
      <c r="J15" s="34" t="n">
        <f aca="false">F15*I15</f>
        <v>2534.4</v>
      </c>
      <c r="K15" s="106" t="s">
        <v>42</v>
      </c>
      <c r="L15" s="34" t="n">
        <f aca="false">10/1.2</f>
        <v>8.33</v>
      </c>
      <c r="M15" s="34" t="n">
        <f aca="false">F15*L15</f>
        <v>2665.6</v>
      </c>
      <c r="N15" s="106" t="s">
        <v>43</v>
      </c>
      <c r="O15" s="34" t="n">
        <f aca="false">10/1.2</f>
        <v>8.33</v>
      </c>
      <c r="P15" s="34" t="n">
        <f aca="false">F15*O15</f>
        <v>2665.6</v>
      </c>
      <c r="Q15" s="35" t="n">
        <f aca="false">AVERAGE(I15,L15,O15)</f>
        <v>8.19</v>
      </c>
      <c r="R15" s="36" t="n">
        <f aca="false">G15*100/Q15-100</f>
        <v>0</v>
      </c>
      <c r="S15" s="35" t="n">
        <f aca="false">Q15*F15</f>
        <v>2620.8</v>
      </c>
      <c r="T15" s="37"/>
      <c r="V15" s="39" t="n">
        <f aca="false">ROUND(I15*100/Q15-100,0)</f>
        <v>-3</v>
      </c>
      <c r="W15" s="39" t="n">
        <f aca="false">ROUND(L15*100/Q15-100,0)</f>
        <v>2</v>
      </c>
      <c r="X15" s="39" t="n">
        <f aca="false">ROUND(O15*100/Q15-100,0)</f>
        <v>2</v>
      </c>
      <c r="Y15" s="85" t="n">
        <f aca="false">Q15/1.2</f>
        <v>6.83</v>
      </c>
      <c r="Z15" s="85" t="n">
        <f aca="false">Q15*1.2</f>
        <v>9.83</v>
      </c>
      <c r="AA15" s="86" t="n">
        <f aca="false">AND((I15)&gt;=MIN(Y15),(I15)&lt;=MAX(Z15))</f>
        <v>1</v>
      </c>
      <c r="AB15" s="86" t="n">
        <f aca="false">AND((L15)&gt;=MIN(Y15),(L15)&lt;=MAX(Z15))</f>
        <v>1</v>
      </c>
      <c r="AC15" s="86" t="n">
        <f aca="false">AND((O15)&gt;=MIN(Y15),(O15)&lt;=MAX(Z15))</f>
        <v>1</v>
      </c>
      <c r="AD15" s="95" t="s">
        <v>705</v>
      </c>
      <c r="AE15" s="88" t="n">
        <f aca="false">8.98/1.2</f>
        <v>7.48</v>
      </c>
      <c r="AF15" s="88" t="n">
        <f aca="false">AE15*F15</f>
        <v>2393.6</v>
      </c>
      <c r="AG15" s="95" t="s">
        <v>706</v>
      </c>
      <c r="AH15" s="88" t="n">
        <f aca="false">10/1.2</f>
        <v>8.33</v>
      </c>
      <c r="AI15" s="89" t="n">
        <f aca="false">AH15*F15</f>
        <v>2665.6</v>
      </c>
      <c r="AJ15" s="87" t="s">
        <v>707</v>
      </c>
      <c r="AK15" s="96" t="n">
        <f aca="false">7.4/1.2</f>
        <v>6.17</v>
      </c>
      <c r="AL15" s="89" t="n">
        <f aca="false">AK15*F15</f>
        <v>1974.4</v>
      </c>
      <c r="AM15" s="91" t="n">
        <f aca="false">AVERAGE(AE15,AH15,AK15)</f>
        <v>7.33</v>
      </c>
      <c r="AN15" s="91" t="n">
        <f aca="false">((G15-AM15)/AM15)*100</f>
        <v>11.73</v>
      </c>
      <c r="AO15" s="92" t="n">
        <f aca="false">AM15/1.2</f>
        <v>6.11</v>
      </c>
      <c r="AP15" s="92" t="n">
        <f aca="false">AM15*1.2</f>
        <v>8.8</v>
      </c>
      <c r="AQ15" s="86" t="n">
        <f aca="false">AND((AE15)&gt;=MIN(AO15),(AE15)&lt;=MAX(AP15))</f>
        <v>1</v>
      </c>
      <c r="AR15" s="86" t="n">
        <f aca="false">AND((AH15)&gt;=MIN(AO15),(AH15)&lt;=MAX(AP15))</f>
        <v>1</v>
      </c>
      <c r="AS15" s="86" t="n">
        <f aca="false">AND((AK15)&gt;=MIN(AO15),(AK15)&lt;=MAX(AP15))</f>
        <v>1</v>
      </c>
    </row>
    <row r="16" s="38" customFormat="true" ht="104.25" hidden="false" customHeight="true" outlineLevel="0" collapsed="false">
      <c r="A16" s="28" t="n">
        <v>6</v>
      </c>
      <c r="B16" s="104" t="s">
        <v>708</v>
      </c>
      <c r="C16" s="219" t="s">
        <v>1145</v>
      </c>
      <c r="D16" s="29" t="s">
        <v>44</v>
      </c>
      <c r="E16" s="30" t="s">
        <v>40</v>
      </c>
      <c r="F16" s="31" t="n">
        <v>45</v>
      </c>
      <c r="G16" s="32" t="n">
        <f aca="false">Q16</f>
        <v>366.02</v>
      </c>
      <c r="H16" s="33" t="s">
        <v>45</v>
      </c>
      <c r="I16" s="34" t="n">
        <f aca="false">403/1.2</f>
        <v>335.83</v>
      </c>
      <c r="J16" s="34" t="n">
        <f aca="false">F16*I16</f>
        <v>15112.35</v>
      </c>
      <c r="K16" s="33" t="s">
        <v>46</v>
      </c>
      <c r="L16" s="34" t="n">
        <f aca="false">447.95/1.2</f>
        <v>373.29</v>
      </c>
      <c r="M16" s="34" t="n">
        <f aca="false">F16*L16</f>
        <v>16798.05</v>
      </c>
      <c r="N16" s="33" t="s">
        <v>47</v>
      </c>
      <c r="O16" s="34" t="n">
        <f aca="false">466.74/1.2</f>
        <v>388.95</v>
      </c>
      <c r="P16" s="34" t="n">
        <f aca="false">F16*O16</f>
        <v>17502.75</v>
      </c>
      <c r="Q16" s="35" t="n">
        <f aca="false">AVERAGE(I16,L16,O16)</f>
        <v>366.02</v>
      </c>
      <c r="R16" s="36" t="n">
        <f aca="false">G16*100/Q16-100</f>
        <v>0</v>
      </c>
      <c r="S16" s="35" t="n">
        <f aca="false">Q16*F16</f>
        <v>16470.9</v>
      </c>
      <c r="T16" s="37"/>
      <c r="V16" s="39" t="n">
        <f aca="false">ROUND(I16*100/Q16-100,0)</f>
        <v>-8</v>
      </c>
      <c r="W16" s="39" t="n">
        <f aca="false">ROUND(L16*100/Q16-100,0)</f>
        <v>2</v>
      </c>
      <c r="X16" s="39" t="n">
        <f aca="false">ROUND(O16*100/Q16-100,0)</f>
        <v>6</v>
      </c>
      <c r="Y16" s="85" t="n">
        <f aca="false">Q16/1.2</f>
        <v>305.02</v>
      </c>
      <c r="Z16" s="85" t="n">
        <f aca="false">Q16*1.2</f>
        <v>439.22</v>
      </c>
      <c r="AA16" s="86" t="n">
        <f aca="false">AND((I16)&gt;=MIN(Y16),(I16)&lt;=MAX(Z16))</f>
        <v>1</v>
      </c>
      <c r="AB16" s="86" t="n">
        <f aca="false">AND((L16)&gt;=MIN(Y16),(L16)&lt;=MAX(Z16))</f>
        <v>1</v>
      </c>
      <c r="AC16" s="86" t="n">
        <f aca="false">AND((O16)&gt;=MIN(Y16),(O16)&lt;=MAX(Z16))</f>
        <v>1</v>
      </c>
      <c r="AD16" s="87"/>
      <c r="AE16" s="88"/>
      <c r="AF16" s="88" t="n">
        <f aca="false">AE16*F16</f>
        <v>0</v>
      </c>
      <c r="AG16" s="95"/>
      <c r="AH16" s="88"/>
      <c r="AI16" s="89" t="n">
        <f aca="false">AH16*F16</f>
        <v>0</v>
      </c>
      <c r="AJ16" s="95"/>
      <c r="AK16" s="98"/>
      <c r="AL16" s="89" t="n">
        <f aca="false">AK16*F16</f>
        <v>0</v>
      </c>
      <c r="AM16" s="91" t="e">
        <f aca="false">AVERAGE(AE16,AH16,AK16)</f>
        <v>#DIV/0!</v>
      </c>
      <c r="AN16" s="91" t="e">
        <f aca="false">((G16-AM16)/AM16)*100</f>
        <v>#DIV/0!</v>
      </c>
      <c r="AO16" s="92" t="e">
        <f aca="false">AM16/1.2</f>
        <v>#DIV/0!</v>
      </c>
      <c r="AP16" s="92" t="e">
        <f aca="false">AM16*1.2</f>
        <v>#DIV/0!</v>
      </c>
      <c r="AQ16" s="86" t="e">
        <f aca="false">AND((AE16)&gt;=MIN(AO16),(AE16)&lt;=MAX(AP16))</f>
        <v>#DIV/0!</v>
      </c>
      <c r="AR16" s="86" t="e">
        <f aca="false">AND((AH16)&gt;=MIN(AO16),(AH16)&lt;=MAX(AP16))</f>
        <v>#DIV/0!</v>
      </c>
      <c r="AS16" s="86" t="e">
        <f aca="false">AND((AK16)&gt;=MIN(AO16),(AK16)&lt;=MAX(AP16))</f>
        <v>#DIV/0!</v>
      </c>
    </row>
    <row r="17" s="38" customFormat="true" ht="104.25" hidden="false" customHeight="true" outlineLevel="0" collapsed="false">
      <c r="A17" s="28" t="n">
        <v>7</v>
      </c>
      <c r="B17" s="104" t="s">
        <v>709</v>
      </c>
      <c r="C17" s="219" t="s">
        <v>1146</v>
      </c>
      <c r="D17" s="29" t="s">
        <v>48</v>
      </c>
      <c r="E17" s="30" t="s">
        <v>40</v>
      </c>
      <c r="F17" s="31" t="n">
        <v>20</v>
      </c>
      <c r="G17" s="32" t="n">
        <f aca="false">Q17</f>
        <v>1021.25</v>
      </c>
      <c r="H17" s="33" t="s">
        <v>49</v>
      </c>
      <c r="I17" s="34" t="n">
        <f aca="false">1141/1.2</f>
        <v>950.83</v>
      </c>
      <c r="J17" s="34" t="n">
        <f aca="false">F17*I17</f>
        <v>19016.6</v>
      </c>
      <c r="K17" s="33" t="s">
        <v>50</v>
      </c>
      <c r="L17" s="34" t="n">
        <f aca="false">1365/1.2</f>
        <v>1137.5</v>
      </c>
      <c r="M17" s="34" t="n">
        <f aca="false">F17*L17</f>
        <v>22750</v>
      </c>
      <c r="N17" s="33" t="s">
        <v>51</v>
      </c>
      <c r="O17" s="34" t="n">
        <f aca="false">1170.49/1.2</f>
        <v>975.41</v>
      </c>
      <c r="P17" s="34" t="n">
        <f aca="false">F17*O17</f>
        <v>19508.2</v>
      </c>
      <c r="Q17" s="35" t="n">
        <f aca="false">AVERAGE(I17,L17,O17)</f>
        <v>1021.25</v>
      </c>
      <c r="R17" s="36" t="n">
        <f aca="false">G17*100/Q17-100</f>
        <v>0</v>
      </c>
      <c r="S17" s="35" t="n">
        <f aca="false">Q17*F17</f>
        <v>20425</v>
      </c>
      <c r="T17" s="37"/>
      <c r="V17" s="39" t="n">
        <f aca="false">ROUND(I17*100/Q17-100,0)</f>
        <v>-7</v>
      </c>
      <c r="W17" s="39" t="n">
        <f aca="false">ROUND(L17*100/Q17-100,0)</f>
        <v>11</v>
      </c>
      <c r="X17" s="39" t="n">
        <f aca="false">ROUND(O17*100/Q17-100,0)</f>
        <v>-4</v>
      </c>
      <c r="Y17" s="85" t="n">
        <f aca="false">Q17/1.2</f>
        <v>851.04</v>
      </c>
      <c r="Z17" s="85" t="n">
        <f aca="false">Q17*1.2</f>
        <v>1225.5</v>
      </c>
      <c r="AA17" s="86" t="n">
        <f aca="false">AND((I17)&gt;=MIN(Y17),(I17)&lt;=MAX(Z17))</f>
        <v>1</v>
      </c>
      <c r="AB17" s="86" t="n">
        <f aca="false">AND((L17)&gt;=MIN(Y17),(L17)&lt;=MAX(Z17))</f>
        <v>1</v>
      </c>
      <c r="AC17" s="86" t="n">
        <f aca="false">AND((O17)&gt;=MIN(Y17),(O17)&lt;=MAX(Z17))</f>
        <v>1</v>
      </c>
      <c r="AD17" s="87"/>
      <c r="AE17" s="88"/>
      <c r="AF17" s="88" t="n">
        <f aca="false">AE17*F17</f>
        <v>0</v>
      </c>
      <c r="AG17" s="95"/>
      <c r="AH17" s="88"/>
      <c r="AI17" s="89" t="n">
        <f aca="false">AH17*F17</f>
        <v>0</v>
      </c>
      <c r="AJ17" s="95"/>
      <c r="AK17" s="98"/>
      <c r="AL17" s="89" t="n">
        <f aca="false">AK17*F17</f>
        <v>0</v>
      </c>
      <c r="AM17" s="91" t="e">
        <f aca="false">AVERAGE(AE17,AH17,AK17)</f>
        <v>#DIV/0!</v>
      </c>
      <c r="AN17" s="91" t="e">
        <f aca="false">((G17-AM17)/AM17)*100</f>
        <v>#DIV/0!</v>
      </c>
      <c r="AO17" s="92" t="e">
        <f aca="false">AM17/1.2</f>
        <v>#DIV/0!</v>
      </c>
      <c r="AP17" s="92" t="e">
        <f aca="false">AM17*1.2</f>
        <v>#DIV/0!</v>
      </c>
      <c r="AQ17" s="86" t="e">
        <f aca="false">AND((AE17)&gt;=MIN(AO17),(AE17)&lt;=MAX(AP17))</f>
        <v>#DIV/0!</v>
      </c>
      <c r="AR17" s="86" t="e">
        <f aca="false">AND((AH17)&gt;=MIN(AO17),(AH17)&lt;=MAX(AP17))</f>
        <v>#DIV/0!</v>
      </c>
      <c r="AS17" s="86" t="e">
        <f aca="false">AND((AK17)&gt;=MIN(AO17),(AK17)&lt;=MAX(AP17))</f>
        <v>#DIV/0!</v>
      </c>
    </row>
    <row r="18" s="38" customFormat="true" ht="104.25" hidden="false" customHeight="true" outlineLevel="0" collapsed="false">
      <c r="A18" s="28" t="n">
        <v>8</v>
      </c>
      <c r="B18" s="102" t="s">
        <v>710</v>
      </c>
      <c r="C18" s="218"/>
      <c r="D18" s="29" t="s">
        <v>52</v>
      </c>
      <c r="E18" s="30" t="s">
        <v>40</v>
      </c>
      <c r="F18" s="31" t="n">
        <v>25</v>
      </c>
      <c r="G18" s="32" t="n">
        <f aca="false">Q18</f>
        <v>498.73</v>
      </c>
      <c r="H18" s="33" t="s">
        <v>53</v>
      </c>
      <c r="I18" s="34" t="n">
        <f aca="false">603.53/1.2</f>
        <v>502.94</v>
      </c>
      <c r="J18" s="34" t="n">
        <f aca="false">F18*I18</f>
        <v>12573.5</v>
      </c>
      <c r="K18" s="33" t="s">
        <v>54</v>
      </c>
      <c r="L18" s="34" t="n">
        <f aca="false">588.38/1.2</f>
        <v>490.32</v>
      </c>
      <c r="M18" s="34" t="n">
        <f aca="false">F18*L18</f>
        <v>12258</v>
      </c>
      <c r="N18" s="33" t="s">
        <v>55</v>
      </c>
      <c r="O18" s="34" t="n">
        <f aca="false">603.53/1.2</f>
        <v>502.94</v>
      </c>
      <c r="P18" s="34" t="n">
        <f aca="false">F18*O18</f>
        <v>12573.5</v>
      </c>
      <c r="Q18" s="35" t="n">
        <f aca="false">AVERAGE(I18,L18,O18)</f>
        <v>498.73</v>
      </c>
      <c r="R18" s="36" t="n">
        <f aca="false">G18*100/Q18-100</f>
        <v>0</v>
      </c>
      <c r="S18" s="35" t="n">
        <f aca="false">Q18*F18</f>
        <v>12468.25</v>
      </c>
      <c r="T18" s="37"/>
      <c r="V18" s="39" t="n">
        <f aca="false">ROUND(I18*100/Q18-100,0)</f>
        <v>1</v>
      </c>
      <c r="W18" s="39" t="n">
        <f aca="false">ROUND(L18*100/Q18-100,0)</f>
        <v>-2</v>
      </c>
      <c r="X18" s="39" t="n">
        <f aca="false">ROUND(O18*100/Q18-100,0)</f>
        <v>1</v>
      </c>
      <c r="Y18" s="85" t="n">
        <f aca="false">Q18/1.2</f>
        <v>415.61</v>
      </c>
      <c r="Z18" s="85" t="n">
        <f aca="false">Q18*1.2</f>
        <v>598.48</v>
      </c>
      <c r="AA18" s="86" t="n">
        <f aca="false">AND((I18)&gt;=MIN(Y18),(I18)&lt;=MAX(Z18))</f>
        <v>1</v>
      </c>
      <c r="AB18" s="86" t="n">
        <f aca="false">AND((L18)&gt;=MIN(Y18),(L18)&lt;=MAX(Z18))</f>
        <v>1</v>
      </c>
      <c r="AC18" s="86" t="n">
        <f aca="false">AND((O18)&gt;=MIN(Y18),(O18)&lt;=MAX(Z18))</f>
        <v>1</v>
      </c>
      <c r="AD18" s="87"/>
      <c r="AE18" s="88"/>
      <c r="AF18" s="88" t="n">
        <f aca="false">AE18*F18</f>
        <v>0</v>
      </c>
      <c r="AG18" s="95"/>
      <c r="AH18" s="88"/>
      <c r="AI18" s="89" t="n">
        <f aca="false">AH18*F18</f>
        <v>0</v>
      </c>
      <c r="AJ18" s="95"/>
      <c r="AK18" s="98"/>
      <c r="AL18" s="89" t="n">
        <f aca="false">AK18*F18</f>
        <v>0</v>
      </c>
      <c r="AM18" s="91" t="e">
        <f aca="false">AVERAGE(AE18,AH18,AK18)</f>
        <v>#DIV/0!</v>
      </c>
      <c r="AN18" s="91" t="e">
        <f aca="false">((G18-AM18)/AM18)*100</f>
        <v>#DIV/0!</v>
      </c>
      <c r="AO18" s="92" t="e">
        <f aca="false">AM18/1.2</f>
        <v>#DIV/0!</v>
      </c>
      <c r="AP18" s="92" t="e">
        <f aca="false">AM18*1.2</f>
        <v>#DIV/0!</v>
      </c>
      <c r="AQ18" s="86" t="e">
        <f aca="false">AND((AE18)&gt;=MIN(AO18),(AE18)&lt;=MAX(AP18))</f>
        <v>#DIV/0!</v>
      </c>
      <c r="AR18" s="86" t="e">
        <f aca="false">AND((AH18)&gt;=MIN(AO18),(AH18)&lt;=MAX(AP18))</f>
        <v>#DIV/0!</v>
      </c>
      <c r="AS18" s="86" t="e">
        <f aca="false">AND((AK18)&gt;=MIN(AO18),(AK18)&lt;=MAX(AP18))</f>
        <v>#DIV/0!</v>
      </c>
    </row>
    <row r="19" s="38" customFormat="true" ht="104.25" hidden="false" customHeight="true" outlineLevel="0" collapsed="false">
      <c r="A19" s="28" t="n">
        <v>9</v>
      </c>
      <c r="B19" s="104" t="s">
        <v>1147</v>
      </c>
      <c r="C19" s="215"/>
      <c r="D19" s="29" t="s">
        <v>56</v>
      </c>
      <c r="E19" s="30" t="s">
        <v>40</v>
      </c>
      <c r="F19" s="31" t="n">
        <v>15</v>
      </c>
      <c r="G19" s="32" t="n">
        <f aca="false">Q19</f>
        <v>734.38</v>
      </c>
      <c r="H19" s="33" t="s">
        <v>53</v>
      </c>
      <c r="I19" s="34" t="n">
        <f aca="false">874/1.2*1.05</f>
        <v>764.75</v>
      </c>
      <c r="J19" s="34" t="n">
        <f aca="false">F19*I19</f>
        <v>11471.25</v>
      </c>
      <c r="K19" s="33" t="s">
        <v>57</v>
      </c>
      <c r="L19" s="34" t="n">
        <f aca="false">852.07/1.2</f>
        <v>710.06</v>
      </c>
      <c r="M19" s="34" t="n">
        <f aca="false">F19*L19</f>
        <v>10650.9</v>
      </c>
      <c r="N19" s="33" t="s">
        <v>58</v>
      </c>
      <c r="O19" s="34" t="n">
        <f aca="false">874/1.2</f>
        <v>728.33</v>
      </c>
      <c r="P19" s="34" t="n">
        <f aca="false">F19*O19</f>
        <v>10924.95</v>
      </c>
      <c r="Q19" s="35" t="n">
        <f aca="false">AVERAGE(I19,L19,O19)</f>
        <v>734.38</v>
      </c>
      <c r="R19" s="36" t="n">
        <f aca="false">G19*100/Q19-100</f>
        <v>0</v>
      </c>
      <c r="S19" s="35" t="n">
        <f aca="false">Q19*F19</f>
        <v>11015.7</v>
      </c>
      <c r="T19" s="37"/>
      <c r="V19" s="39" t="n">
        <f aca="false">ROUND(I19*100/Q19-100,0)</f>
        <v>4</v>
      </c>
      <c r="W19" s="39" t="n">
        <f aca="false">ROUND(L19*100/Q19-100,0)</f>
        <v>-3</v>
      </c>
      <c r="X19" s="39" t="n">
        <f aca="false">ROUND(O19*100/Q19-100,0)</f>
        <v>-1</v>
      </c>
      <c r="Y19" s="85" t="n">
        <f aca="false">Q19/1.2</f>
        <v>611.98</v>
      </c>
      <c r="Z19" s="85" t="n">
        <f aca="false">Q19*1.2</f>
        <v>881.26</v>
      </c>
      <c r="AA19" s="86" t="n">
        <f aca="false">AND((I19)&gt;=MIN(Y19),(I19)&lt;=MAX(Z19))</f>
        <v>1</v>
      </c>
      <c r="AB19" s="86" t="n">
        <f aca="false">AND((L19)&gt;=MIN(Y19),(L19)&lt;=MAX(Z19))</f>
        <v>1</v>
      </c>
      <c r="AC19" s="86" t="n">
        <f aca="false">AND((O19)&gt;=MIN(Y19),(O19)&lt;=MAX(Z19))</f>
        <v>1</v>
      </c>
      <c r="AD19" s="87"/>
      <c r="AE19" s="88"/>
      <c r="AF19" s="88" t="n">
        <f aca="false">AE19*F19</f>
        <v>0</v>
      </c>
      <c r="AG19" s="95"/>
      <c r="AH19" s="88"/>
      <c r="AI19" s="89" t="n">
        <f aca="false">AH19*F19</f>
        <v>0</v>
      </c>
      <c r="AJ19" s="95"/>
      <c r="AK19" s="98"/>
      <c r="AL19" s="89" t="n">
        <f aca="false">AK19*F19</f>
        <v>0</v>
      </c>
      <c r="AM19" s="91" t="e">
        <f aca="false">AVERAGE(AE19,AH19,AK19)</f>
        <v>#DIV/0!</v>
      </c>
      <c r="AN19" s="91" t="e">
        <f aca="false">((G19-AM19)/AM19)*100</f>
        <v>#DIV/0!</v>
      </c>
      <c r="AO19" s="92" t="e">
        <f aca="false">AM19/1.2</f>
        <v>#DIV/0!</v>
      </c>
      <c r="AP19" s="92" t="e">
        <f aca="false">AM19*1.2</f>
        <v>#DIV/0!</v>
      </c>
      <c r="AQ19" s="86" t="e">
        <f aca="false">AND((AE19)&gt;=MIN(AO19),(AE19)&lt;=MAX(AP19))</f>
        <v>#DIV/0!</v>
      </c>
      <c r="AR19" s="86" t="e">
        <f aca="false">AND((AH19)&gt;=MIN(AO19),(AH19)&lt;=MAX(AP19))</f>
        <v>#DIV/0!</v>
      </c>
      <c r="AS19" s="86" t="e">
        <f aca="false">AND((AK19)&gt;=MIN(AO19),(AK19)&lt;=MAX(AP19))</f>
        <v>#DIV/0!</v>
      </c>
    </row>
    <row r="20" s="38" customFormat="true" ht="104.25" hidden="false" customHeight="true" outlineLevel="0" collapsed="false">
      <c r="A20" s="28" t="n">
        <v>10</v>
      </c>
      <c r="B20" s="102"/>
      <c r="C20" s="220"/>
      <c r="D20" s="29" t="s">
        <v>59</v>
      </c>
      <c r="E20" s="30" t="s">
        <v>40</v>
      </c>
      <c r="F20" s="31" t="n">
        <v>395</v>
      </c>
      <c r="G20" s="32" t="n">
        <f aca="false">Q20</f>
        <v>87</v>
      </c>
      <c r="H20" s="40" t="s">
        <v>60</v>
      </c>
      <c r="I20" s="34" t="n">
        <f aca="false">111.84/1.2</f>
        <v>93.2</v>
      </c>
      <c r="J20" s="34" t="n">
        <f aca="false">F20*I20</f>
        <v>36814</v>
      </c>
      <c r="K20" s="40" t="s">
        <v>61</v>
      </c>
      <c r="L20" s="34" t="n">
        <f aca="false">94.34/1.2</f>
        <v>78.62</v>
      </c>
      <c r="M20" s="34" t="n">
        <f aca="false">F20*L20</f>
        <v>31054.9</v>
      </c>
      <c r="N20" s="40" t="s">
        <v>62</v>
      </c>
      <c r="O20" s="34" t="n">
        <f aca="false">107/1.2</f>
        <v>89.17</v>
      </c>
      <c r="P20" s="34" t="n">
        <f aca="false">F20*O20</f>
        <v>35222.15</v>
      </c>
      <c r="Q20" s="35" t="n">
        <f aca="false">AVERAGE(I20,L20,O20)</f>
        <v>87</v>
      </c>
      <c r="R20" s="36" t="n">
        <f aca="false">G20*100/Q20-100</f>
        <v>0</v>
      </c>
      <c r="S20" s="35" t="n">
        <f aca="false">Q20*F20</f>
        <v>34365</v>
      </c>
      <c r="T20" s="37"/>
      <c r="V20" s="39" t="n">
        <f aca="false">ROUND(I20*100/Q20-100,0)</f>
        <v>7</v>
      </c>
      <c r="W20" s="39" t="n">
        <f aca="false">ROUND(L20*100/Q20-100,0)</f>
        <v>-10</v>
      </c>
      <c r="X20" s="39" t="n">
        <f aca="false">ROUND(O20*100/Q20-100,0)</f>
        <v>2</v>
      </c>
      <c r="Y20" s="85" t="n">
        <f aca="false">Q20/1.2</f>
        <v>72.5</v>
      </c>
      <c r="Z20" s="85" t="n">
        <f aca="false">Q20*1.2</f>
        <v>104.4</v>
      </c>
      <c r="AA20" s="86" t="n">
        <f aca="false">AND((I20)&gt;=MIN(Y20),(I20)&lt;=MAX(Z20))</f>
        <v>1</v>
      </c>
      <c r="AB20" s="86" t="n">
        <f aca="false">AND((L20)&gt;=MIN(Y20),(L20)&lt;=MAX(Z20))</f>
        <v>1</v>
      </c>
      <c r="AC20" s="86" t="n">
        <f aca="false">AND((O20)&gt;=MIN(Y20),(O20)&lt;=MAX(Z20))</f>
        <v>1</v>
      </c>
      <c r="AD20" s="95" t="s">
        <v>712</v>
      </c>
      <c r="AE20" s="88" t="n">
        <f aca="false">81.17/1.2</f>
        <v>67.64</v>
      </c>
      <c r="AF20" s="88" t="n">
        <f aca="false">AE20*F20</f>
        <v>26717.8</v>
      </c>
      <c r="AG20" s="95" t="s">
        <v>713</v>
      </c>
      <c r="AH20" s="88" t="n">
        <f aca="false">849.2/10/1.2</f>
        <v>70.77</v>
      </c>
      <c r="AI20" s="89" t="n">
        <f aca="false">AH20*F20</f>
        <v>27954.15</v>
      </c>
      <c r="AJ20" s="95" t="s">
        <v>714</v>
      </c>
      <c r="AK20" s="88" t="n">
        <f aca="false">83/1.2</f>
        <v>69.17</v>
      </c>
      <c r="AL20" s="89" t="n">
        <f aca="false">AK20*F20</f>
        <v>27322.15</v>
      </c>
      <c r="AM20" s="91" t="n">
        <f aca="false">AVERAGE(AE20,AH20,AK20)</f>
        <v>69.19</v>
      </c>
      <c r="AN20" s="91" t="n">
        <f aca="false">((G20-AM20)/AM20)*100</f>
        <v>25.74</v>
      </c>
      <c r="AO20" s="92" t="n">
        <f aca="false">AM20/1.2</f>
        <v>57.66</v>
      </c>
      <c r="AP20" s="92" t="n">
        <f aca="false">AM20*1.2</f>
        <v>83.03</v>
      </c>
      <c r="AQ20" s="86" t="n">
        <f aca="false">AND((AE20)&gt;=MIN(AO20),(AE20)&lt;=MAX(AP20))</f>
        <v>1</v>
      </c>
      <c r="AR20" s="86" t="n">
        <f aca="false">AND((AH20)&gt;=MIN(AO20),(AH20)&lt;=MAX(AP20))</f>
        <v>1</v>
      </c>
      <c r="AS20" s="86" t="n">
        <f aca="false">AND((AK20)&gt;=MIN(AO20),(AK20)&lt;=MAX(AP20))</f>
        <v>1</v>
      </c>
    </row>
    <row r="21" s="38" customFormat="true" ht="104.25" hidden="false" customHeight="true" outlineLevel="0" collapsed="false">
      <c r="A21" s="28" t="n">
        <v>11</v>
      </c>
      <c r="B21" s="104" t="s">
        <v>715</v>
      </c>
      <c r="C21" s="215"/>
      <c r="D21" s="29" t="s">
        <v>63</v>
      </c>
      <c r="E21" s="30" t="s">
        <v>64</v>
      </c>
      <c r="F21" s="31" t="n">
        <v>20</v>
      </c>
      <c r="G21" s="32" t="n">
        <f aca="false">Q21</f>
        <v>294.04</v>
      </c>
      <c r="H21" s="41" t="s">
        <v>65</v>
      </c>
      <c r="I21" s="34" t="n">
        <f aca="false">383/1.2</f>
        <v>319.17</v>
      </c>
      <c r="J21" s="34" t="n">
        <f aca="false">F21*I21</f>
        <v>6383.4</v>
      </c>
      <c r="K21" s="41" t="s">
        <v>66</v>
      </c>
      <c r="L21" s="34" t="n">
        <f aca="false">1605/5/1.2</f>
        <v>267.5</v>
      </c>
      <c r="M21" s="34" t="n">
        <f aca="false">F21*L21</f>
        <v>5350</v>
      </c>
      <c r="N21" s="41" t="s">
        <v>67</v>
      </c>
      <c r="O21" s="34" t="n">
        <f aca="false">70200/198/1.2</f>
        <v>295.45</v>
      </c>
      <c r="P21" s="34" t="n">
        <f aca="false">F21*O21</f>
        <v>5909</v>
      </c>
      <c r="Q21" s="35" t="n">
        <f aca="false">AVERAGE(I21,L21,O21)</f>
        <v>294.04</v>
      </c>
      <c r="R21" s="36" t="n">
        <f aca="false">G21*100/Q21-100</f>
        <v>0</v>
      </c>
      <c r="S21" s="35" t="n">
        <f aca="false">Q21*F21</f>
        <v>5880.8</v>
      </c>
      <c r="T21" s="37"/>
      <c r="V21" s="39" t="n">
        <f aca="false">ROUND(I21*100/Q21-100,0)</f>
        <v>9</v>
      </c>
      <c r="W21" s="39" t="n">
        <f aca="false">ROUND(L21*100/Q21-100,0)</f>
        <v>-9</v>
      </c>
      <c r="X21" s="39" t="n">
        <f aca="false">ROUND(O21*100/Q21-100,0)</f>
        <v>0</v>
      </c>
      <c r="Y21" s="85" t="n">
        <f aca="false">Q21/1.2</f>
        <v>245.03</v>
      </c>
      <c r="Z21" s="85" t="n">
        <f aca="false">Q21*1.2</f>
        <v>352.85</v>
      </c>
      <c r="AA21" s="86" t="n">
        <f aca="false">AND((I21)&gt;=MIN(Y21),(I21)&lt;=MAX(Z21))</f>
        <v>1</v>
      </c>
      <c r="AB21" s="86" t="n">
        <f aca="false">AND((L21)&gt;=MIN(Y21),(L21)&lt;=MAX(Z21))</f>
        <v>1</v>
      </c>
      <c r="AC21" s="86" t="n">
        <f aca="false">AND((O21)&gt;=MIN(Y21),(O21)&lt;=MAX(Z21))</f>
        <v>1</v>
      </c>
      <c r="AD21" s="95" t="s">
        <v>716</v>
      </c>
      <c r="AE21" s="88" t="n">
        <f aca="false">1168/1.2/4</f>
        <v>243.33</v>
      </c>
      <c r="AF21" s="88" t="n">
        <f aca="false">AE21*F21</f>
        <v>4866.6</v>
      </c>
      <c r="AG21" s="95" t="s">
        <v>717</v>
      </c>
      <c r="AH21" s="88" t="n">
        <f aca="false">1004/4/1.2</f>
        <v>209.17</v>
      </c>
      <c r="AI21" s="89" t="n">
        <f aca="false">AH21*F21</f>
        <v>4183.4</v>
      </c>
      <c r="AJ21" s="95" t="s">
        <v>718</v>
      </c>
      <c r="AK21" s="88" t="n">
        <f aca="false">1225/1.2/4</f>
        <v>255.21</v>
      </c>
      <c r="AL21" s="89" t="n">
        <f aca="false">AK21*F21</f>
        <v>5104.2</v>
      </c>
      <c r="AM21" s="91" t="n">
        <f aca="false">AVERAGE(AE21,AH21,AK21)</f>
        <v>235.9</v>
      </c>
      <c r="AN21" s="91" t="n">
        <f aca="false">((G21-AM21)/AM21)*100</f>
        <v>24.65</v>
      </c>
      <c r="AO21" s="92" t="n">
        <f aca="false">AM21/1.2</f>
        <v>196.58</v>
      </c>
      <c r="AP21" s="92" t="n">
        <f aca="false">AM21*1.2</f>
        <v>283.08</v>
      </c>
      <c r="AQ21" s="86" t="n">
        <f aca="false">AND((AE21)&gt;=MIN(AO21),(AE21)&lt;=MAX(AP21))</f>
        <v>1</v>
      </c>
      <c r="AR21" s="86" t="n">
        <f aca="false">AND((AH21)&gt;=MIN(AO21),(AH21)&lt;=MAX(AP21))</f>
        <v>1</v>
      </c>
      <c r="AS21" s="86" t="n">
        <f aca="false">AND((AK21)&gt;=MIN(AO21),(AK21)&lt;=MAX(AP21))</f>
        <v>1</v>
      </c>
    </row>
    <row r="22" s="38" customFormat="true" ht="104.25" hidden="false" customHeight="true" outlineLevel="0" collapsed="false">
      <c r="A22" s="221" t="n">
        <v>12</v>
      </c>
      <c r="B22" s="102" t="s">
        <v>719</v>
      </c>
      <c r="C22" s="220"/>
      <c r="D22" s="29" t="s">
        <v>68</v>
      </c>
      <c r="E22" s="30" t="s">
        <v>40</v>
      </c>
      <c r="F22" s="31" t="n">
        <v>10</v>
      </c>
      <c r="G22" s="32" t="n">
        <f aca="false">Q22</f>
        <v>7425</v>
      </c>
      <c r="H22" s="40" t="s">
        <v>69</v>
      </c>
      <c r="I22" s="34" t="n">
        <f aca="false">8808/1.2</f>
        <v>7340</v>
      </c>
      <c r="J22" s="34" t="n">
        <f aca="false">F22*I22</f>
        <v>73400</v>
      </c>
      <c r="K22" s="40" t="s">
        <v>70</v>
      </c>
      <c r="L22" s="34" t="n">
        <f aca="false">9307/1.2</f>
        <v>7755.83</v>
      </c>
      <c r="M22" s="34" t="n">
        <f aca="false">F22*L22</f>
        <v>77558.3</v>
      </c>
      <c r="N22" s="42" t="s">
        <v>71</v>
      </c>
      <c r="O22" s="34" t="n">
        <f aca="false">8615/1.2</f>
        <v>7179.17</v>
      </c>
      <c r="P22" s="34" t="n">
        <f aca="false">F22*O22</f>
        <v>71791.7</v>
      </c>
      <c r="Q22" s="35" t="n">
        <f aca="false">AVERAGE(I22,L22,O22)</f>
        <v>7425</v>
      </c>
      <c r="R22" s="36" t="n">
        <f aca="false">G22*100/Q22-100</f>
        <v>0</v>
      </c>
      <c r="S22" s="35" t="n">
        <f aca="false">Q22*F22</f>
        <v>74250</v>
      </c>
      <c r="T22" s="37"/>
      <c r="V22" s="39" t="n">
        <f aca="false">ROUND(I22*100/Q22-100,0)</f>
        <v>-1</v>
      </c>
      <c r="W22" s="39" t="n">
        <f aca="false">ROUND(L22*100/Q22-100,0)</f>
        <v>4</v>
      </c>
      <c r="X22" s="39" t="n">
        <f aca="false">ROUND(O22*100/Q22-100,0)</f>
        <v>-3</v>
      </c>
      <c r="Y22" s="85" t="n">
        <f aca="false">Q22/1.2</f>
        <v>6187.5</v>
      </c>
      <c r="Z22" s="85" t="n">
        <f aca="false">Q22*1.2</f>
        <v>8910</v>
      </c>
      <c r="AA22" s="86" t="n">
        <f aca="false">AND((I22)&gt;=MIN(Y22),(I22)&lt;=MAX(Z22))</f>
        <v>1</v>
      </c>
      <c r="AB22" s="86" t="n">
        <f aca="false">AND((L22)&gt;=MIN(Y22),(L22)&lt;=MAX(Z22))</f>
        <v>1</v>
      </c>
      <c r="AC22" s="86" t="n">
        <f aca="false">AND((O22)&gt;=MIN(Y22),(O22)&lt;=MAX(Z22))</f>
        <v>1</v>
      </c>
      <c r="AD22" s="95" t="s">
        <v>720</v>
      </c>
      <c r="AE22" s="88" t="n">
        <f aca="false">8790/1.2</f>
        <v>7325</v>
      </c>
      <c r="AF22" s="88" t="n">
        <f aca="false">AE22*F22</f>
        <v>73250</v>
      </c>
      <c r="AG22" s="95" t="s">
        <v>721</v>
      </c>
      <c r="AH22" s="88" t="n">
        <f aca="false">8615/1.2</f>
        <v>7179.17</v>
      </c>
      <c r="AI22" s="89" t="n">
        <f aca="false">AH22*F22</f>
        <v>71791.7</v>
      </c>
      <c r="AJ22" s="95" t="s">
        <v>722</v>
      </c>
      <c r="AK22" s="88" t="n">
        <f aca="false">8790/1.2</f>
        <v>7325</v>
      </c>
      <c r="AL22" s="89" t="n">
        <f aca="false">AK22*F22</f>
        <v>73250</v>
      </c>
      <c r="AM22" s="91" t="n">
        <f aca="false">AVERAGE(AE22,AH22,AK22)</f>
        <v>7276.39</v>
      </c>
      <c r="AN22" s="91" t="n">
        <f aca="false">((G22-AM22)/AM22)*100</f>
        <v>2.04</v>
      </c>
      <c r="AO22" s="92" t="n">
        <f aca="false">AM22/1.2</f>
        <v>6063.66</v>
      </c>
      <c r="AP22" s="92" t="n">
        <f aca="false">AM22*1.2</f>
        <v>8731.67</v>
      </c>
      <c r="AQ22" s="86" t="n">
        <f aca="false">AND((AE22)&gt;=MIN(AO22),(AE22)&lt;=MAX(AP22))</f>
        <v>1</v>
      </c>
      <c r="AR22" s="86" t="n">
        <f aca="false">AND((AH22)&gt;=MIN(AO22),(AH22)&lt;=MAX(AP22))</f>
        <v>1</v>
      </c>
      <c r="AS22" s="86" t="n">
        <f aca="false">AND((AK22)&gt;=MIN(AO22),(AK22)&lt;=MAX(AP22))</f>
        <v>1</v>
      </c>
    </row>
    <row r="23" s="38" customFormat="true" ht="104.25" hidden="false" customHeight="true" outlineLevel="0" collapsed="false">
      <c r="A23" s="28" t="n">
        <v>13</v>
      </c>
      <c r="B23" s="102" t="s">
        <v>723</v>
      </c>
      <c r="C23" s="220" t="s">
        <v>1148</v>
      </c>
      <c r="D23" s="29" t="s">
        <v>72</v>
      </c>
      <c r="E23" s="30" t="s">
        <v>40</v>
      </c>
      <c r="F23" s="31" t="n">
        <v>25</v>
      </c>
      <c r="G23" s="32" t="n">
        <f aca="false">Q23</f>
        <v>3307.22</v>
      </c>
      <c r="H23" s="42" t="s">
        <v>73</v>
      </c>
      <c r="I23" s="34" t="n">
        <f aca="false">3636/1.2</f>
        <v>3030</v>
      </c>
      <c r="J23" s="34" t="n">
        <f aca="false">F23*I23</f>
        <v>75750</v>
      </c>
      <c r="K23" s="42" t="s">
        <v>74</v>
      </c>
      <c r="L23" s="34" t="n">
        <f aca="false">3910/1.2</f>
        <v>3258.33</v>
      </c>
      <c r="M23" s="34" t="n">
        <f aca="false">F23*L23</f>
        <v>81458.25</v>
      </c>
      <c r="N23" s="42" t="s">
        <v>75</v>
      </c>
      <c r="O23" s="34" t="n">
        <f aca="false">4360/1.2</f>
        <v>3633.33</v>
      </c>
      <c r="P23" s="34" t="n">
        <f aca="false">F23*O23</f>
        <v>90833.25</v>
      </c>
      <c r="Q23" s="35" t="n">
        <f aca="false">AVERAGE(I23,L23,O23)</f>
        <v>3307.22</v>
      </c>
      <c r="R23" s="36" t="n">
        <f aca="false">G23*100/Q23-100</f>
        <v>0</v>
      </c>
      <c r="S23" s="35" t="n">
        <f aca="false">Q23*F23</f>
        <v>82680.5</v>
      </c>
      <c r="T23" s="37"/>
      <c r="V23" s="39" t="n">
        <f aca="false">ROUND(I23*100/Q23-100,0)</f>
        <v>-8</v>
      </c>
      <c r="W23" s="39" t="n">
        <f aca="false">ROUND(L23*100/Q23-100,0)</f>
        <v>-1</v>
      </c>
      <c r="X23" s="39" t="n">
        <f aca="false">ROUND(O23*100/Q23-100,0)</f>
        <v>10</v>
      </c>
      <c r="Y23" s="85" t="n">
        <f aca="false">Q23/1.2</f>
        <v>2756.02</v>
      </c>
      <c r="Z23" s="85" t="n">
        <f aca="false">Q23*1.2</f>
        <v>3968.66</v>
      </c>
      <c r="AA23" s="86" t="n">
        <f aca="false">AND((I23)&gt;=MIN(Y23),(I23)&lt;=MAX(Z23))</f>
        <v>1</v>
      </c>
      <c r="AB23" s="86" t="n">
        <f aca="false">AND((L23)&gt;=MIN(Y23),(L23)&lt;=MAX(Z23))</f>
        <v>1</v>
      </c>
      <c r="AC23" s="86" t="n">
        <f aca="false">AND((O23)&gt;=MIN(Y23),(O23)&lt;=MAX(Z23))</f>
        <v>1</v>
      </c>
      <c r="AD23" s="95" t="s">
        <v>724</v>
      </c>
      <c r="AE23" s="88" t="n">
        <f aca="false">3730/1.2</f>
        <v>3108.33</v>
      </c>
      <c r="AF23" s="88" t="n">
        <f aca="false">AE23*F23</f>
        <v>77708.25</v>
      </c>
      <c r="AG23" s="95" t="s">
        <v>725</v>
      </c>
      <c r="AH23" s="88" t="n">
        <f aca="false">3636/1.2</f>
        <v>3030</v>
      </c>
      <c r="AI23" s="89" t="n">
        <f aca="false">AH23*F23</f>
        <v>75750</v>
      </c>
      <c r="AJ23" s="95" t="s">
        <v>726</v>
      </c>
      <c r="AK23" s="88" t="n">
        <f aca="false">4360/1.2</f>
        <v>3633.33</v>
      </c>
      <c r="AL23" s="89" t="n">
        <f aca="false">AK23*F23</f>
        <v>90833.25</v>
      </c>
      <c r="AM23" s="91" t="n">
        <f aca="false">AVERAGE(AE23,AH23,AK23)</f>
        <v>3257.22</v>
      </c>
      <c r="AN23" s="91" t="n">
        <f aca="false">((G23-AM23)/AM23)*100</f>
        <v>1.54</v>
      </c>
      <c r="AO23" s="92" t="n">
        <f aca="false">AM23/1.2</f>
        <v>2714.35</v>
      </c>
      <c r="AP23" s="92" t="n">
        <f aca="false">AM23*1.2</f>
        <v>3908.66</v>
      </c>
      <c r="AQ23" s="86" t="n">
        <f aca="false">AND((AE23)&gt;=MIN(AO23),(AE23)&lt;=MAX(AP23))</f>
        <v>1</v>
      </c>
      <c r="AR23" s="86" t="n">
        <f aca="false">AND((AH23)&gt;=MIN(AO23),(AH23)&lt;=MAX(AP23))</f>
        <v>1</v>
      </c>
      <c r="AS23" s="86" t="n">
        <f aca="false">AND((AK23)&gt;=MIN(AO23),(AK23)&lt;=MAX(AP23))</f>
        <v>1</v>
      </c>
    </row>
    <row r="24" s="38" customFormat="true" ht="104.25" hidden="false" customHeight="true" outlineLevel="0" collapsed="false">
      <c r="A24" s="28" t="n">
        <v>15</v>
      </c>
      <c r="B24" s="102"/>
      <c r="C24" s="220"/>
      <c r="D24" s="29" t="s">
        <v>77</v>
      </c>
      <c r="E24" s="30" t="s">
        <v>40</v>
      </c>
      <c r="F24" s="31" t="n">
        <v>25</v>
      </c>
      <c r="G24" s="32" t="n">
        <f aca="false">Q24</f>
        <v>1528.05</v>
      </c>
      <c r="H24" s="40" t="s">
        <v>78</v>
      </c>
      <c r="I24" s="34" t="n">
        <f aca="false">1720/1.2</f>
        <v>1433.33</v>
      </c>
      <c r="J24" s="34" t="n">
        <f aca="false">F24*I24</f>
        <v>35833.25</v>
      </c>
      <c r="K24" s="40" t="s">
        <v>79</v>
      </c>
      <c r="L24" s="34" t="n">
        <f aca="false">1810/1.2</f>
        <v>1508.33</v>
      </c>
      <c r="M24" s="34" t="n">
        <f aca="false">F24*L24</f>
        <v>37708.25</v>
      </c>
      <c r="N24" s="40" t="s">
        <v>80</v>
      </c>
      <c r="O24" s="34" t="n">
        <f aca="false">1971/1.2</f>
        <v>1642.5</v>
      </c>
      <c r="P24" s="34" t="n">
        <f aca="false">F24*O24</f>
        <v>41062.5</v>
      </c>
      <c r="Q24" s="35" t="n">
        <f aca="false">AVERAGE(I24,L24,O24)</f>
        <v>1528.05</v>
      </c>
      <c r="R24" s="36" t="n">
        <f aca="false">G24*100/Q24-100</f>
        <v>0</v>
      </c>
      <c r="S24" s="35" t="n">
        <f aca="false">Q24*F24</f>
        <v>38201.25</v>
      </c>
      <c r="T24" s="37"/>
      <c r="V24" s="39" t="n">
        <f aca="false">ROUND(I24*100/Q24-100,0)</f>
        <v>-6</v>
      </c>
      <c r="W24" s="39" t="n">
        <f aca="false">ROUND(L24*100/Q24-100,0)</f>
        <v>-1</v>
      </c>
      <c r="X24" s="39" t="n">
        <f aca="false">ROUND(O24*100/Q24-100,0)</f>
        <v>7</v>
      </c>
      <c r="Y24" s="85" t="n">
        <f aca="false">Q24/1.2</f>
        <v>1273.38</v>
      </c>
      <c r="Z24" s="85" t="n">
        <f aca="false">Q24*1.2</f>
        <v>1833.66</v>
      </c>
      <c r="AA24" s="86" t="n">
        <f aca="false">AND((I24)&gt;=MIN(Y24),(I24)&lt;=MAX(Z24))</f>
        <v>1</v>
      </c>
      <c r="AB24" s="86" t="n">
        <f aca="false">AND((L24)&gt;=MIN(Y24),(L24)&lt;=MAX(Z24))</f>
        <v>1</v>
      </c>
      <c r="AC24" s="86" t="n">
        <f aca="false">AND((O24)&gt;=MIN(Y24),(O24)&lt;=MAX(Z24))</f>
        <v>1</v>
      </c>
      <c r="AD24" s="95" t="s">
        <v>727</v>
      </c>
      <c r="AE24" s="88" t="n">
        <f aca="false">1971/1.2</f>
        <v>1642.5</v>
      </c>
      <c r="AF24" s="88" t="n">
        <f aca="false">AE24*F24</f>
        <v>41062.5</v>
      </c>
      <c r="AG24" s="95" t="s">
        <v>728</v>
      </c>
      <c r="AH24" s="88" t="n">
        <f aca="false">2066/1.2</f>
        <v>1721.67</v>
      </c>
      <c r="AI24" s="89" t="n">
        <f aca="false">AH24*F24</f>
        <v>43041.75</v>
      </c>
      <c r="AJ24" s="95" t="s">
        <v>729</v>
      </c>
      <c r="AK24" s="88" t="n">
        <f aca="false">2201/1.2</f>
        <v>1834.17</v>
      </c>
      <c r="AL24" s="89" t="n">
        <f aca="false">AK24*F24</f>
        <v>45854.25</v>
      </c>
      <c r="AM24" s="91" t="n">
        <f aca="false">AVERAGE(AE24,AH24,AK24)</f>
        <v>1732.78</v>
      </c>
      <c r="AN24" s="91" t="n">
        <f aca="false">((G24-AM24)/AM24)*100</f>
        <v>-11.82</v>
      </c>
      <c r="AO24" s="92" t="n">
        <f aca="false">AM24/1.2</f>
        <v>1443.98</v>
      </c>
      <c r="AP24" s="92" t="n">
        <f aca="false">AM24*1.2</f>
        <v>2079.34</v>
      </c>
      <c r="AQ24" s="86" t="n">
        <f aca="false">AND((AE24)&gt;=MIN(AO24),(AE24)&lt;=MAX(AP24))</f>
        <v>1</v>
      </c>
      <c r="AR24" s="86" t="n">
        <f aca="false">AND((AH24)&gt;=MIN(AO24),(AH24)&lt;=MAX(AP24))</f>
        <v>1</v>
      </c>
      <c r="AS24" s="86" t="n">
        <f aca="false">AND((AK24)&gt;=MIN(AO24),(AK24)&lt;=MAX(AP24))</f>
        <v>1</v>
      </c>
    </row>
    <row r="25" s="38" customFormat="true" ht="104.25" hidden="false" customHeight="true" outlineLevel="0" collapsed="false">
      <c r="A25" s="28" t="n">
        <v>16</v>
      </c>
      <c r="B25" s="102"/>
      <c r="C25" s="220"/>
      <c r="D25" s="29" t="s">
        <v>81</v>
      </c>
      <c r="E25" s="30" t="s">
        <v>40</v>
      </c>
      <c r="F25" s="31" t="n">
        <v>5</v>
      </c>
      <c r="G25" s="32" t="n">
        <f aca="false">Q25</f>
        <v>42083.33</v>
      </c>
      <c r="H25" s="42" t="s">
        <v>82</v>
      </c>
      <c r="I25" s="34" t="n">
        <f aca="false">55900/1.2</f>
        <v>46583.33</v>
      </c>
      <c r="J25" s="34" t="n">
        <f aca="false">F25*I25</f>
        <v>232916.65</v>
      </c>
      <c r="K25" s="42" t="s">
        <v>83</v>
      </c>
      <c r="L25" s="34" t="n">
        <f aca="false">47800/1.2</f>
        <v>39833.33</v>
      </c>
      <c r="M25" s="34" t="n">
        <f aca="false">F25*L25</f>
        <v>199166.65</v>
      </c>
      <c r="N25" s="42" t="s">
        <v>84</v>
      </c>
      <c r="O25" s="34" t="n">
        <f aca="false">47800/1.2</f>
        <v>39833.33</v>
      </c>
      <c r="P25" s="34" t="n">
        <f aca="false">F25*O25</f>
        <v>199166.65</v>
      </c>
      <c r="Q25" s="35" t="n">
        <f aca="false">AVERAGE(I25,L25,O25)</f>
        <v>42083.33</v>
      </c>
      <c r="R25" s="36" t="n">
        <f aca="false">G25*100/Q25-100</f>
        <v>0</v>
      </c>
      <c r="S25" s="35" t="n">
        <f aca="false">Q25*F25</f>
        <v>210416.65</v>
      </c>
      <c r="T25" s="37"/>
      <c r="V25" s="39" t="n">
        <f aca="false">ROUND(I25*100/Q25-100,0)</f>
        <v>11</v>
      </c>
      <c r="W25" s="39" t="n">
        <f aca="false">ROUND(L25*100/Q25-100,0)</f>
        <v>-5</v>
      </c>
      <c r="X25" s="39" t="n">
        <f aca="false">ROUND(O25*100/Q25-100,0)</f>
        <v>-5</v>
      </c>
      <c r="Y25" s="85" t="n">
        <f aca="false">Q25/1.2</f>
        <v>35069.44</v>
      </c>
      <c r="Z25" s="85" t="n">
        <f aca="false">Q25*1.2</f>
        <v>50500</v>
      </c>
      <c r="AA25" s="86" t="n">
        <f aca="false">AND((I25)&gt;=MIN(Y25),(I25)&lt;=MAX(Z25))</f>
        <v>1</v>
      </c>
      <c r="AB25" s="86" t="n">
        <f aca="false">AND((L25)&gt;=MIN(Y25),(L25)&lt;=MAX(Z25))</f>
        <v>1</v>
      </c>
      <c r="AC25" s="86" t="n">
        <f aca="false">AND((O25)&gt;=MIN(Y25),(O25)&lt;=MAX(Z25))</f>
        <v>1</v>
      </c>
      <c r="AD25" s="95" t="s">
        <v>84</v>
      </c>
      <c r="AE25" s="88" t="n">
        <f aca="false">47800/1.2</f>
        <v>39833.33</v>
      </c>
      <c r="AF25" s="88" t="n">
        <f aca="false">AE25*F25</f>
        <v>199166.65</v>
      </c>
      <c r="AG25" s="95" t="s">
        <v>82</v>
      </c>
      <c r="AH25" s="88" t="n">
        <f aca="false">55900/1.2</f>
        <v>46583.33</v>
      </c>
      <c r="AI25" s="89" t="n">
        <f aca="false">AH25*F25</f>
        <v>232916.65</v>
      </c>
      <c r="AJ25" s="95" t="s">
        <v>83</v>
      </c>
      <c r="AK25" s="88" t="n">
        <f aca="false">47800/1.2</f>
        <v>39833.33</v>
      </c>
      <c r="AL25" s="89" t="n">
        <f aca="false">AK25*F25</f>
        <v>199166.65</v>
      </c>
      <c r="AM25" s="91" t="n">
        <f aca="false">AVERAGE(AE25,AH25,AK25)</f>
        <v>42083.33</v>
      </c>
      <c r="AN25" s="91" t="n">
        <f aca="false">((G25-AM25)/AM25)*100</f>
        <v>0</v>
      </c>
      <c r="AO25" s="92" t="n">
        <f aca="false">AM25/1.2</f>
        <v>35069.44</v>
      </c>
      <c r="AP25" s="92" t="n">
        <f aca="false">AM25*1.2</f>
        <v>50500</v>
      </c>
      <c r="AQ25" s="86" t="n">
        <f aca="false">AND((AE25)&gt;=MIN(AO25),(AE25)&lt;=MAX(AP25))</f>
        <v>1</v>
      </c>
      <c r="AR25" s="86" t="n">
        <f aca="false">AND((AH25)&gt;=MIN(AO25),(AH25)&lt;=MAX(AP25))</f>
        <v>1</v>
      </c>
      <c r="AS25" s="86" t="n">
        <f aca="false">AND((AK25)&gt;=MIN(AO25),(AK25)&lt;=MAX(AP25))</f>
        <v>1</v>
      </c>
    </row>
    <row r="26" s="38" customFormat="true" ht="104.25" hidden="false" customHeight="true" outlineLevel="0" collapsed="false">
      <c r="A26" s="28" t="n">
        <v>17</v>
      </c>
      <c r="B26" s="104"/>
      <c r="C26" s="222"/>
      <c r="D26" s="29" t="s">
        <v>85</v>
      </c>
      <c r="E26" s="30" t="s">
        <v>40</v>
      </c>
      <c r="F26" s="31" t="n">
        <v>5</v>
      </c>
      <c r="G26" s="32" t="n">
        <f aca="false">Q26</f>
        <v>34708.33</v>
      </c>
      <c r="H26" s="95" t="s">
        <v>86</v>
      </c>
      <c r="I26" s="34" t="n">
        <f aca="false">41650/1.2</f>
        <v>34708.33</v>
      </c>
      <c r="J26" s="34" t="n">
        <f aca="false">F26*I26</f>
        <v>173541.65</v>
      </c>
      <c r="K26" s="106" t="s">
        <v>87</v>
      </c>
      <c r="L26" s="34" t="n">
        <f aca="false">41650/1.2</f>
        <v>34708.33</v>
      </c>
      <c r="M26" s="34" t="n">
        <f aca="false">F26*L26</f>
        <v>173541.65</v>
      </c>
      <c r="N26" s="106" t="s">
        <v>88</v>
      </c>
      <c r="O26" s="34" t="n">
        <f aca="false">41650/1.2</f>
        <v>34708.33</v>
      </c>
      <c r="P26" s="34" t="n">
        <f aca="false">F26*O26</f>
        <v>173541.65</v>
      </c>
      <c r="Q26" s="35" t="n">
        <f aca="false">AVERAGE(I26,L26,O26)</f>
        <v>34708.33</v>
      </c>
      <c r="R26" s="36" t="n">
        <f aca="false">G26*100/Q26-100</f>
        <v>0</v>
      </c>
      <c r="S26" s="35" t="n">
        <f aca="false">Q26*F26</f>
        <v>173541.65</v>
      </c>
      <c r="T26" s="37"/>
      <c r="V26" s="39" t="n">
        <f aca="false">ROUND(I26*100/Q26-100,0)</f>
        <v>0</v>
      </c>
      <c r="W26" s="39" t="n">
        <f aca="false">ROUND(L26*100/Q26-100,0)</f>
        <v>0</v>
      </c>
      <c r="X26" s="39" t="n">
        <f aca="false">ROUND(O26*100/Q26-100,0)</f>
        <v>0</v>
      </c>
      <c r="Y26" s="85" t="n">
        <f aca="false">Q26/1.2</f>
        <v>28923.61</v>
      </c>
      <c r="Z26" s="85" t="n">
        <f aca="false">Q26*1.2</f>
        <v>41650</v>
      </c>
      <c r="AA26" s="86" t="n">
        <f aca="false">AND((I26)&gt;=MIN(Y26),(I26)&lt;=MAX(Z26))</f>
        <v>1</v>
      </c>
      <c r="AB26" s="86" t="n">
        <f aca="false">AND((L26)&gt;=MIN(Y26),(L26)&lt;=MAX(Z26))</f>
        <v>1</v>
      </c>
      <c r="AC26" s="86" t="n">
        <f aca="false">AND((O26)&gt;=MIN(Y26),(O26)&lt;=MAX(Z26))</f>
        <v>1</v>
      </c>
      <c r="AD26" s="95" t="s">
        <v>86</v>
      </c>
      <c r="AE26" s="88" t="n">
        <f aca="false">45800/1.2</f>
        <v>38166.67</v>
      </c>
      <c r="AF26" s="88" t="n">
        <f aca="false">AE26*F26</f>
        <v>190833.35</v>
      </c>
      <c r="AG26" s="95" t="s">
        <v>87</v>
      </c>
      <c r="AH26" s="88" t="n">
        <f aca="false">45800/1.2</f>
        <v>38166.67</v>
      </c>
      <c r="AI26" s="89" t="n">
        <f aca="false">AH26*F26</f>
        <v>190833.35</v>
      </c>
      <c r="AJ26" s="95" t="s">
        <v>88</v>
      </c>
      <c r="AK26" s="88" t="n">
        <f aca="false">45800/1.2</f>
        <v>38166.67</v>
      </c>
      <c r="AL26" s="89" t="n">
        <f aca="false">AK26*F26</f>
        <v>190833.35</v>
      </c>
      <c r="AM26" s="91" t="n">
        <f aca="false">AVERAGE(AE26,AH26,AK26)</f>
        <v>38166.67</v>
      </c>
      <c r="AN26" s="91" t="n">
        <f aca="false">((G26-AM26)/AM26)*100</f>
        <v>-9.06</v>
      </c>
      <c r="AO26" s="92" t="n">
        <f aca="false">AM26/1.2</f>
        <v>31805.56</v>
      </c>
      <c r="AP26" s="92" t="n">
        <f aca="false">AM26*1.2</f>
        <v>45800</v>
      </c>
      <c r="AQ26" s="86" t="n">
        <f aca="false">AND((AE26)&gt;=MIN(AO26),(AE26)&lt;=MAX(AP26))</f>
        <v>1</v>
      </c>
      <c r="AR26" s="86" t="n">
        <f aca="false">AND((AH26)&gt;=MIN(AO26),(AH26)&lt;=MAX(AP26))</f>
        <v>1</v>
      </c>
      <c r="AS26" s="86" t="n">
        <f aca="false">AND((AK26)&gt;=MIN(AO26),(AK26)&lt;=MAX(AP26))</f>
        <v>1</v>
      </c>
    </row>
    <row r="27" s="38" customFormat="true" ht="104.25" hidden="false" customHeight="true" outlineLevel="0" collapsed="false">
      <c r="A27" s="28" t="n">
        <v>18</v>
      </c>
      <c r="B27" s="104" t="s">
        <v>730</v>
      </c>
      <c r="C27" s="215"/>
      <c r="D27" s="29" t="s">
        <v>89</v>
      </c>
      <c r="E27" s="30" t="s">
        <v>40</v>
      </c>
      <c r="F27" s="31" t="n">
        <v>10</v>
      </c>
      <c r="G27" s="32" t="n">
        <f aca="false">Q27</f>
        <v>400.56</v>
      </c>
      <c r="H27" s="95" t="s">
        <v>90</v>
      </c>
      <c r="I27" s="34" t="n">
        <f aca="false">480/1.2</f>
        <v>400</v>
      </c>
      <c r="J27" s="34" t="n">
        <f aca="false">F27*I27</f>
        <v>4000</v>
      </c>
      <c r="K27" s="106" t="s">
        <v>91</v>
      </c>
      <c r="L27" s="34" t="n">
        <f aca="false">452/1.2</f>
        <v>376.67</v>
      </c>
      <c r="M27" s="34" t="n">
        <f aca="false">F27*L27</f>
        <v>3766.7</v>
      </c>
      <c r="N27" s="106" t="s">
        <v>92</v>
      </c>
      <c r="O27" s="34" t="n">
        <f aca="false">510/1.2</f>
        <v>425</v>
      </c>
      <c r="P27" s="34" t="n">
        <f aca="false">F27*O27</f>
        <v>4250</v>
      </c>
      <c r="Q27" s="35" t="n">
        <f aca="false">AVERAGE(I27,L27,O27)</f>
        <v>400.56</v>
      </c>
      <c r="R27" s="36" t="n">
        <f aca="false">G27*100/Q27-100</f>
        <v>0</v>
      </c>
      <c r="S27" s="35" t="n">
        <f aca="false">Q27*F27</f>
        <v>4005.6</v>
      </c>
      <c r="T27" s="37"/>
      <c r="V27" s="39" t="n">
        <f aca="false">ROUND(I27*100/Q27-100,0)</f>
        <v>-0</v>
      </c>
      <c r="W27" s="39" t="n">
        <f aca="false">ROUND(L27*100/Q27-100,0)</f>
        <v>-6</v>
      </c>
      <c r="X27" s="39" t="n">
        <f aca="false">ROUND(O27*100/Q27-100,0)</f>
        <v>6</v>
      </c>
      <c r="Y27" s="85" t="n">
        <f aca="false">Q27/1.2</f>
        <v>333.8</v>
      </c>
      <c r="Z27" s="85" t="n">
        <f aca="false">Q27*1.2</f>
        <v>480.67</v>
      </c>
      <c r="AA27" s="86" t="n">
        <f aca="false">AND((I27)&gt;=MIN(Y27),(I27)&lt;=MAX(Z27))</f>
        <v>1</v>
      </c>
      <c r="AB27" s="86" t="n">
        <f aca="false">AND((L27)&gt;=MIN(Y27),(L27)&lt;=MAX(Z27))</f>
        <v>1</v>
      </c>
      <c r="AC27" s="86" t="n">
        <f aca="false">AND((O27)&gt;=MIN(Y27),(O27)&lt;=MAX(Z27))</f>
        <v>1</v>
      </c>
      <c r="AD27" s="95"/>
      <c r="AE27" s="88"/>
      <c r="AF27" s="88" t="n">
        <f aca="false">AE27*F27</f>
        <v>0</v>
      </c>
      <c r="AG27" s="95"/>
      <c r="AH27" s="88"/>
      <c r="AI27" s="89" t="n">
        <f aca="false">AH27*F27</f>
        <v>0</v>
      </c>
      <c r="AJ27" s="95"/>
      <c r="AK27" s="88"/>
      <c r="AL27" s="89" t="n">
        <f aca="false">AK27*F27</f>
        <v>0</v>
      </c>
      <c r="AM27" s="91" t="e">
        <f aca="false">AVERAGE(AE27,AH27,AK27)</f>
        <v>#DIV/0!</v>
      </c>
      <c r="AN27" s="91" t="e">
        <f aca="false">((G27-AM27)/AM27)*100</f>
        <v>#DIV/0!</v>
      </c>
      <c r="AO27" s="92" t="e">
        <f aca="false">AM27/1.2</f>
        <v>#DIV/0!</v>
      </c>
      <c r="AP27" s="92" t="e">
        <f aca="false">AM27*1.2</f>
        <v>#DIV/0!</v>
      </c>
      <c r="AQ27" s="86" t="e">
        <f aca="false">AND((AE27)&gt;=MIN(AO27),(AE27)&lt;=MAX(AP27))</f>
        <v>#DIV/0!</v>
      </c>
      <c r="AR27" s="86" t="e">
        <f aca="false">AND((AH27)&gt;=MIN(AO27),(AH27)&lt;=MAX(AP27))</f>
        <v>#DIV/0!</v>
      </c>
      <c r="AS27" s="86" t="e">
        <f aca="false">AND((AK27)&gt;=MIN(AO27),(AK27)&lt;=MAX(AP27))</f>
        <v>#DIV/0!</v>
      </c>
    </row>
    <row r="28" s="38" customFormat="true" ht="104.25" hidden="false" customHeight="true" outlineLevel="0" collapsed="false">
      <c r="A28" s="28" t="n">
        <v>19</v>
      </c>
      <c r="B28" s="104" t="s">
        <v>730</v>
      </c>
      <c r="C28" s="215"/>
      <c r="D28" s="29" t="s">
        <v>93</v>
      </c>
      <c r="E28" s="30" t="s">
        <v>40</v>
      </c>
      <c r="F28" s="31" t="n">
        <v>10</v>
      </c>
      <c r="G28" s="32" t="n">
        <f aca="false">Q28</f>
        <v>353.61</v>
      </c>
      <c r="H28" s="40" t="s">
        <v>94</v>
      </c>
      <c r="I28" s="34" t="n">
        <f aca="false">423/1.2</f>
        <v>352.5</v>
      </c>
      <c r="J28" s="34" t="n">
        <f aca="false">F28*I28</f>
        <v>3525</v>
      </c>
      <c r="K28" s="40" t="s">
        <v>95</v>
      </c>
      <c r="L28" s="34" t="n">
        <f aca="false">427/1.2</f>
        <v>355.83</v>
      </c>
      <c r="M28" s="34" t="n">
        <f aca="false">F28*L28</f>
        <v>3558.3</v>
      </c>
      <c r="N28" s="40" t="s">
        <v>96</v>
      </c>
      <c r="O28" s="34" t="n">
        <f aca="false">423/1.2</f>
        <v>352.5</v>
      </c>
      <c r="P28" s="34" t="n">
        <f aca="false">F28*O28</f>
        <v>3525</v>
      </c>
      <c r="Q28" s="35" t="n">
        <f aca="false">AVERAGE(I28,L28,O28)</f>
        <v>353.61</v>
      </c>
      <c r="R28" s="36" t="n">
        <f aca="false">G28*100/Q28-100</f>
        <v>0</v>
      </c>
      <c r="S28" s="35" t="n">
        <f aca="false">Q28*F28</f>
        <v>3536.1</v>
      </c>
      <c r="T28" s="37"/>
      <c r="V28" s="39" t="n">
        <f aca="false">ROUND(I28*100/Q28-100,0)</f>
        <v>-0</v>
      </c>
      <c r="W28" s="39" t="n">
        <f aca="false">ROUND(L28*100/Q28-100,0)</f>
        <v>1</v>
      </c>
      <c r="X28" s="39" t="n">
        <f aca="false">ROUND(O28*100/Q28-100,0)</f>
        <v>-0</v>
      </c>
      <c r="Y28" s="85" t="n">
        <f aca="false">Q28/1.2</f>
        <v>294.68</v>
      </c>
      <c r="Z28" s="85" t="n">
        <f aca="false">Q28*1.2</f>
        <v>424.33</v>
      </c>
      <c r="AA28" s="86" t="n">
        <f aca="false">AND((I28)&gt;=MIN(Y28),(I28)&lt;=MAX(Z28))</f>
        <v>1</v>
      </c>
      <c r="AB28" s="86" t="n">
        <f aca="false">AND((L28)&gt;=MIN(Y28),(L28)&lt;=MAX(Z28))</f>
        <v>1</v>
      </c>
      <c r="AC28" s="86" t="n">
        <f aca="false">AND((O28)&gt;=MIN(Y28),(O28)&lt;=MAX(Z28))</f>
        <v>1</v>
      </c>
      <c r="AD28" s="95"/>
      <c r="AE28" s="88"/>
      <c r="AF28" s="88" t="n">
        <f aca="false">AE28*F28</f>
        <v>0</v>
      </c>
      <c r="AG28" s="95"/>
      <c r="AH28" s="88"/>
      <c r="AI28" s="89" t="n">
        <f aca="false">AH28*F28</f>
        <v>0</v>
      </c>
      <c r="AJ28" s="95"/>
      <c r="AK28" s="88"/>
      <c r="AL28" s="89" t="n">
        <f aca="false">AK28*F28</f>
        <v>0</v>
      </c>
      <c r="AM28" s="91" t="e">
        <f aca="false">AVERAGE(AE28,AH28,AK28)</f>
        <v>#DIV/0!</v>
      </c>
      <c r="AN28" s="91" t="e">
        <f aca="false">((G28-AM28)/AM28)*100</f>
        <v>#DIV/0!</v>
      </c>
      <c r="AO28" s="92" t="e">
        <f aca="false">AM28/1.2</f>
        <v>#DIV/0!</v>
      </c>
      <c r="AP28" s="92" t="e">
        <f aca="false">AM28*1.2</f>
        <v>#DIV/0!</v>
      </c>
      <c r="AQ28" s="86" t="e">
        <f aca="false">AND((AE28)&gt;=MIN(AO28),(AE28)&lt;=MAX(AP28))</f>
        <v>#DIV/0!</v>
      </c>
      <c r="AR28" s="86" t="e">
        <f aca="false">AND((AH28)&gt;=MIN(AO28),(AH28)&lt;=MAX(AP28))</f>
        <v>#DIV/0!</v>
      </c>
      <c r="AS28" s="86" t="e">
        <f aca="false">AND((AK28)&gt;=MIN(AO28),(AK28)&lt;=MAX(AP28))</f>
        <v>#DIV/0!</v>
      </c>
    </row>
    <row r="29" s="38" customFormat="true" ht="104.25" hidden="false" customHeight="true" outlineLevel="0" collapsed="false">
      <c r="A29" s="28" t="n">
        <v>20</v>
      </c>
      <c r="B29" s="104" t="s">
        <v>730</v>
      </c>
      <c r="C29" s="215"/>
      <c r="D29" s="29" t="s">
        <v>97</v>
      </c>
      <c r="E29" s="30" t="s">
        <v>40</v>
      </c>
      <c r="F29" s="31" t="n">
        <v>5</v>
      </c>
      <c r="G29" s="32" t="n">
        <f aca="false">Q29</f>
        <v>632.5</v>
      </c>
      <c r="H29" s="40" t="s">
        <v>98</v>
      </c>
      <c r="I29" s="34" t="n">
        <f aca="false">746/1.2</f>
        <v>621.67</v>
      </c>
      <c r="J29" s="34" t="n">
        <f aca="false">F29*I29</f>
        <v>3108.35</v>
      </c>
      <c r="K29" s="42" t="s">
        <v>99</v>
      </c>
      <c r="L29" s="34" t="n">
        <f aca="false">785/1.2</f>
        <v>654.17</v>
      </c>
      <c r="M29" s="34" t="n">
        <f aca="false">F29*L29</f>
        <v>3270.85</v>
      </c>
      <c r="N29" s="40" t="s">
        <v>100</v>
      </c>
      <c r="O29" s="34" t="n">
        <f aca="false">746/1.2</f>
        <v>621.67</v>
      </c>
      <c r="P29" s="34" t="n">
        <f aca="false">F29*O29</f>
        <v>3108.35</v>
      </c>
      <c r="Q29" s="35" t="n">
        <f aca="false">AVERAGE(I29,L29,O29)</f>
        <v>632.5</v>
      </c>
      <c r="R29" s="36" t="n">
        <f aca="false">G29*100/Q29-100</f>
        <v>0</v>
      </c>
      <c r="S29" s="35" t="n">
        <f aca="false">Q29*F29</f>
        <v>3162.5</v>
      </c>
      <c r="T29" s="37"/>
      <c r="V29" s="39" t="n">
        <f aca="false">ROUND(I29*100/Q29-100,0)</f>
        <v>-2</v>
      </c>
      <c r="W29" s="39" t="n">
        <f aca="false">ROUND(L29*100/Q29-100,0)</f>
        <v>3</v>
      </c>
      <c r="X29" s="39" t="n">
        <f aca="false">ROUND(O29*100/Q29-100,0)</f>
        <v>-2</v>
      </c>
      <c r="Y29" s="85" t="n">
        <f aca="false">Q29/1.2</f>
        <v>527.08</v>
      </c>
      <c r="Z29" s="85" t="n">
        <f aca="false">Q29*1.2</f>
        <v>759</v>
      </c>
      <c r="AA29" s="86" t="n">
        <f aca="false">AND((I29)&gt;=MIN(Y29),(I29)&lt;=MAX(Z29))</f>
        <v>1</v>
      </c>
      <c r="AB29" s="86" t="n">
        <f aca="false">AND((L29)&gt;=MIN(Y29),(L29)&lt;=MAX(Z29))</f>
        <v>1</v>
      </c>
      <c r="AC29" s="86" t="n">
        <f aca="false">AND((O29)&gt;=MIN(Y29),(O29)&lt;=MAX(Z29))</f>
        <v>1</v>
      </c>
      <c r="AD29" s="95"/>
      <c r="AE29" s="88"/>
      <c r="AF29" s="88" t="n">
        <f aca="false">AE29*F29</f>
        <v>0</v>
      </c>
      <c r="AG29" s="95"/>
      <c r="AH29" s="88"/>
      <c r="AI29" s="89" t="n">
        <f aca="false">AH29*F29</f>
        <v>0</v>
      </c>
      <c r="AJ29" s="95"/>
      <c r="AK29" s="88"/>
      <c r="AL29" s="89" t="n">
        <f aca="false">AK29*F29</f>
        <v>0</v>
      </c>
      <c r="AM29" s="91" t="e">
        <f aca="false">AVERAGE(AE29,AH29,AK29)</f>
        <v>#DIV/0!</v>
      </c>
      <c r="AN29" s="91" t="e">
        <f aca="false">((G29-AM29)/AM29)*100</f>
        <v>#DIV/0!</v>
      </c>
      <c r="AO29" s="92" t="e">
        <f aca="false">AM29/1.2</f>
        <v>#DIV/0!</v>
      </c>
      <c r="AP29" s="92" t="e">
        <f aca="false">AM29*1.2</f>
        <v>#DIV/0!</v>
      </c>
      <c r="AQ29" s="86" t="e">
        <f aca="false">AND((AE29)&gt;=MIN(AO29),(AE29)&lt;=MAX(AP29))</f>
        <v>#DIV/0!</v>
      </c>
      <c r="AR29" s="86" t="e">
        <f aca="false">AND((AH29)&gt;=MIN(AO29),(AH29)&lt;=MAX(AP29))</f>
        <v>#DIV/0!</v>
      </c>
      <c r="AS29" s="86" t="e">
        <f aca="false">AND((AK29)&gt;=MIN(AO29),(AK29)&lt;=MAX(AP29))</f>
        <v>#DIV/0!</v>
      </c>
    </row>
    <row r="30" s="38" customFormat="true" ht="104.25" hidden="false" customHeight="true" outlineLevel="0" collapsed="false">
      <c r="A30" s="28" t="n">
        <v>21</v>
      </c>
      <c r="B30" s="104" t="s">
        <v>730</v>
      </c>
      <c r="C30" s="215"/>
      <c r="D30" s="29" t="s">
        <v>101</v>
      </c>
      <c r="E30" s="30" t="s">
        <v>40</v>
      </c>
      <c r="F30" s="31" t="n">
        <v>10</v>
      </c>
      <c r="G30" s="32" t="n">
        <f aca="false">Q30</f>
        <v>646.66</v>
      </c>
      <c r="H30" s="40" t="s">
        <v>102</v>
      </c>
      <c r="I30" s="34" t="n">
        <f aca="false">751/1.2</f>
        <v>625.83</v>
      </c>
      <c r="J30" s="34" t="n">
        <f aca="false">F30*I30</f>
        <v>6258.3</v>
      </c>
      <c r="K30" s="40" t="s">
        <v>103</v>
      </c>
      <c r="L30" s="34" t="n">
        <f aca="false">793/1.2</f>
        <v>660.83</v>
      </c>
      <c r="M30" s="34" t="n">
        <f aca="false">F30*L30</f>
        <v>6608.3</v>
      </c>
      <c r="N30" s="40" t="s">
        <v>104</v>
      </c>
      <c r="O30" s="34" t="n">
        <f aca="false">784/1.2</f>
        <v>653.33</v>
      </c>
      <c r="P30" s="34" t="n">
        <f aca="false">F30*O30</f>
        <v>6533.3</v>
      </c>
      <c r="Q30" s="35" t="n">
        <f aca="false">AVERAGE(I30,L30,O30)</f>
        <v>646.66</v>
      </c>
      <c r="R30" s="36" t="n">
        <f aca="false">G30*100/Q30-100</f>
        <v>0</v>
      </c>
      <c r="S30" s="35" t="n">
        <f aca="false">Q30*F30</f>
        <v>6466.6</v>
      </c>
      <c r="T30" s="37"/>
      <c r="V30" s="39" t="n">
        <f aca="false">ROUND(I30*100/Q30-100,0)</f>
        <v>-3</v>
      </c>
      <c r="W30" s="39" t="n">
        <f aca="false">ROUND(L30*100/Q30-100,0)</f>
        <v>2</v>
      </c>
      <c r="X30" s="39" t="n">
        <f aca="false">ROUND(O30*100/Q30-100,0)</f>
        <v>1</v>
      </c>
      <c r="Y30" s="85" t="n">
        <f aca="false">Q30/1.2</f>
        <v>538.88</v>
      </c>
      <c r="Z30" s="85" t="n">
        <f aca="false">Q30*1.2</f>
        <v>775.99</v>
      </c>
      <c r="AA30" s="86" t="n">
        <f aca="false">AND((I30)&gt;=MIN(Y30),(I30)&lt;=MAX(Z30))</f>
        <v>1</v>
      </c>
      <c r="AB30" s="86" t="n">
        <f aca="false">AND((L30)&gt;=MIN(Y30),(L30)&lt;=MAX(Z30))</f>
        <v>1</v>
      </c>
      <c r="AC30" s="86" t="n">
        <f aca="false">AND((O30)&gt;=MIN(Y30),(O30)&lt;=MAX(Z30))</f>
        <v>1</v>
      </c>
      <c r="AD30" s="95"/>
      <c r="AE30" s="88"/>
      <c r="AF30" s="88" t="n">
        <f aca="false">AE30*F30</f>
        <v>0</v>
      </c>
      <c r="AG30" s="95"/>
      <c r="AH30" s="88"/>
      <c r="AI30" s="89" t="n">
        <f aca="false">AH30*F30</f>
        <v>0</v>
      </c>
      <c r="AJ30" s="95"/>
      <c r="AK30" s="88"/>
      <c r="AL30" s="89" t="n">
        <f aca="false">AK30*F30</f>
        <v>0</v>
      </c>
      <c r="AM30" s="91" t="e">
        <f aca="false">AVERAGE(AE30,AH30,AK30)</f>
        <v>#DIV/0!</v>
      </c>
      <c r="AN30" s="91" t="e">
        <f aca="false">((G30-AM30)/AM30)*100</f>
        <v>#DIV/0!</v>
      </c>
      <c r="AO30" s="92" t="e">
        <f aca="false">AM30/1.2</f>
        <v>#DIV/0!</v>
      </c>
      <c r="AP30" s="92" t="e">
        <f aca="false">AM30*1.2</f>
        <v>#DIV/0!</v>
      </c>
      <c r="AQ30" s="86" t="e">
        <f aca="false">AND((AE30)&gt;=MIN(AO30),(AE30)&lt;=MAX(AP30))</f>
        <v>#DIV/0!</v>
      </c>
      <c r="AR30" s="86" t="e">
        <f aca="false">AND((AH30)&gt;=MIN(AO30),(AH30)&lt;=MAX(AP30))</f>
        <v>#DIV/0!</v>
      </c>
      <c r="AS30" s="86" t="e">
        <f aca="false">AND((AK30)&gt;=MIN(AO30),(AK30)&lt;=MAX(AP30))</f>
        <v>#DIV/0!</v>
      </c>
    </row>
    <row r="31" s="38" customFormat="true" ht="104.25" hidden="false" customHeight="true" outlineLevel="0" collapsed="false">
      <c r="A31" s="28" t="n">
        <v>22</v>
      </c>
      <c r="B31" s="104" t="s">
        <v>730</v>
      </c>
      <c r="C31" s="215"/>
      <c r="D31" s="29" t="s">
        <v>105</v>
      </c>
      <c r="E31" s="30" t="s">
        <v>40</v>
      </c>
      <c r="F31" s="31" t="n">
        <v>10</v>
      </c>
      <c r="G31" s="32" t="n">
        <f aca="false">Q31</f>
        <v>321.94</v>
      </c>
      <c r="H31" s="42" t="s">
        <v>106</v>
      </c>
      <c r="I31" s="34" t="n">
        <f aca="false">358/1.2</f>
        <v>298.33</v>
      </c>
      <c r="J31" s="34" t="n">
        <f aca="false">F31*I31</f>
        <v>2983.3</v>
      </c>
      <c r="K31" s="42" t="s">
        <v>107</v>
      </c>
      <c r="L31" s="34" t="n">
        <f aca="false">381/1.2</f>
        <v>317.5</v>
      </c>
      <c r="M31" s="34" t="n">
        <f aca="false">F31*L31</f>
        <v>3175</v>
      </c>
      <c r="N31" s="42" t="s">
        <v>108</v>
      </c>
      <c r="O31" s="34" t="n">
        <f aca="false">420/1.2</f>
        <v>350</v>
      </c>
      <c r="P31" s="34" t="n">
        <f aca="false">F31*O31</f>
        <v>3500</v>
      </c>
      <c r="Q31" s="35" t="n">
        <f aca="false">AVERAGE(I31,L31,O31)</f>
        <v>321.94</v>
      </c>
      <c r="R31" s="36" t="n">
        <f aca="false">G31*100/Q31-100</f>
        <v>0</v>
      </c>
      <c r="S31" s="35" t="n">
        <f aca="false">Q31*F31</f>
        <v>3219.4</v>
      </c>
      <c r="T31" s="37"/>
      <c r="V31" s="39" t="n">
        <f aca="false">ROUND(I31*100/Q31-100,0)</f>
        <v>-7</v>
      </c>
      <c r="W31" s="39" t="n">
        <f aca="false">ROUND(L31*100/Q31-100,0)</f>
        <v>-1</v>
      </c>
      <c r="X31" s="39" t="n">
        <f aca="false">ROUND(O31*100/Q31-100,0)</f>
        <v>9</v>
      </c>
      <c r="Y31" s="85" t="n">
        <f aca="false">Q31/1.2</f>
        <v>268.28</v>
      </c>
      <c r="Z31" s="85" t="n">
        <f aca="false">Q31*1.2</f>
        <v>386.33</v>
      </c>
      <c r="AA31" s="86" t="n">
        <f aca="false">AND((I31)&gt;=MIN(Y31),(I31)&lt;=MAX(Z31))</f>
        <v>1</v>
      </c>
      <c r="AB31" s="86" t="n">
        <f aca="false">AND((L31)&gt;=MIN(Y31),(L31)&lt;=MAX(Z31))</f>
        <v>1</v>
      </c>
      <c r="AC31" s="86" t="n">
        <f aca="false">AND((O31)&gt;=MIN(Y31),(O31)&lt;=MAX(Z31))</f>
        <v>1</v>
      </c>
      <c r="AD31" s="95"/>
      <c r="AE31" s="88"/>
      <c r="AF31" s="88" t="n">
        <f aca="false">AE31*F31</f>
        <v>0</v>
      </c>
      <c r="AG31" s="95"/>
      <c r="AH31" s="88"/>
      <c r="AI31" s="89" t="n">
        <f aca="false">AH31*F31</f>
        <v>0</v>
      </c>
      <c r="AJ31" s="95"/>
      <c r="AK31" s="88"/>
      <c r="AL31" s="89" t="n">
        <f aca="false">AK31*F31</f>
        <v>0</v>
      </c>
      <c r="AM31" s="91" t="e">
        <f aca="false">AVERAGE(AE31,AH31,AK31)</f>
        <v>#DIV/0!</v>
      </c>
      <c r="AN31" s="91" t="e">
        <f aca="false">((G31-AM31)/AM31)*100</f>
        <v>#DIV/0!</v>
      </c>
      <c r="AO31" s="92" t="e">
        <f aca="false">AM31/1.2</f>
        <v>#DIV/0!</v>
      </c>
      <c r="AP31" s="92" t="e">
        <f aca="false">AM31*1.2</f>
        <v>#DIV/0!</v>
      </c>
      <c r="AQ31" s="86" t="e">
        <f aca="false">AND((AE31)&gt;=MIN(AO31),(AE31)&lt;=MAX(AP31))</f>
        <v>#DIV/0!</v>
      </c>
      <c r="AR31" s="86" t="e">
        <f aca="false">AND((AH31)&gt;=MIN(AO31),(AH31)&lt;=MAX(AP31))</f>
        <v>#DIV/0!</v>
      </c>
      <c r="AS31" s="86" t="e">
        <f aca="false">AND((AK31)&gt;=MIN(AO31),(AK31)&lt;=MAX(AP31))</f>
        <v>#DIV/0!</v>
      </c>
    </row>
    <row r="32" s="38" customFormat="true" ht="104.25" hidden="false" customHeight="true" outlineLevel="0" collapsed="false">
      <c r="A32" s="28" t="n">
        <v>23</v>
      </c>
      <c r="B32" s="104" t="s">
        <v>730</v>
      </c>
      <c r="C32" s="215"/>
      <c r="D32" s="29" t="s">
        <v>109</v>
      </c>
      <c r="E32" s="30" t="s">
        <v>40</v>
      </c>
      <c r="F32" s="31" t="n">
        <v>5</v>
      </c>
      <c r="G32" s="32" t="n">
        <f aca="false">Q32</f>
        <v>171.99</v>
      </c>
      <c r="H32" s="42" t="s">
        <v>110</v>
      </c>
      <c r="I32" s="34" t="n">
        <f aca="false">207.97/1.2</f>
        <v>173.31</v>
      </c>
      <c r="J32" s="34" t="n">
        <f aca="false">F32*I32</f>
        <v>866.55</v>
      </c>
      <c r="K32" s="42" t="s">
        <v>111</v>
      </c>
      <c r="L32" s="34" t="n">
        <f aca="false">210/1.2</f>
        <v>175</v>
      </c>
      <c r="M32" s="34" t="n">
        <f aca="false">F32*L32</f>
        <v>875</v>
      </c>
      <c r="N32" s="42" t="s">
        <v>112</v>
      </c>
      <c r="O32" s="34" t="n">
        <f aca="false">2012/10/1.2</f>
        <v>167.67</v>
      </c>
      <c r="P32" s="34" t="n">
        <f aca="false">F32*O32</f>
        <v>838.35</v>
      </c>
      <c r="Q32" s="35" t="n">
        <f aca="false">AVERAGE(I32,L32,O32)</f>
        <v>171.99</v>
      </c>
      <c r="R32" s="36" t="n">
        <f aca="false">G32*100/Q32-100</f>
        <v>0</v>
      </c>
      <c r="S32" s="35" t="n">
        <f aca="false">Q32*F32</f>
        <v>859.95</v>
      </c>
      <c r="T32" s="37"/>
      <c r="V32" s="39" t="n">
        <f aca="false">ROUND(I32*100/Q32-100,0)</f>
        <v>1</v>
      </c>
      <c r="W32" s="39" t="n">
        <f aca="false">ROUND(L32*100/Q32-100,0)</f>
        <v>2</v>
      </c>
      <c r="X32" s="39" t="n">
        <f aca="false">ROUND(O32*100/Q32-100,0)</f>
        <v>-3</v>
      </c>
      <c r="Y32" s="85" t="n">
        <f aca="false">Q32/1.2</f>
        <v>143.33</v>
      </c>
      <c r="Z32" s="85" t="n">
        <f aca="false">Q32*1.2</f>
        <v>206.39</v>
      </c>
      <c r="AA32" s="86" t="n">
        <f aca="false">AND((I32)&gt;=MIN(Y32),(I32)&lt;=MAX(Z32))</f>
        <v>1</v>
      </c>
      <c r="AB32" s="86" t="n">
        <f aca="false">AND((L32)&gt;=MIN(Y32),(L32)&lt;=MAX(Z32))</f>
        <v>1</v>
      </c>
      <c r="AC32" s="86" t="n">
        <f aca="false">AND((O32)&gt;=MIN(Y32),(O32)&lt;=MAX(Z32))</f>
        <v>1</v>
      </c>
      <c r="AD32" s="95"/>
      <c r="AE32" s="88"/>
      <c r="AF32" s="88" t="n">
        <f aca="false">AE32*F32</f>
        <v>0</v>
      </c>
      <c r="AG32" s="95"/>
      <c r="AH32" s="88"/>
      <c r="AI32" s="89" t="n">
        <f aca="false">AH32*F32</f>
        <v>0</v>
      </c>
      <c r="AJ32" s="95"/>
      <c r="AK32" s="88"/>
      <c r="AL32" s="89" t="n">
        <f aca="false">AK32*F32</f>
        <v>0</v>
      </c>
      <c r="AM32" s="91" t="e">
        <f aca="false">AVERAGE(AE32,AH32,AK32)</f>
        <v>#DIV/0!</v>
      </c>
      <c r="AN32" s="91" t="e">
        <f aca="false">((G32-AM32)/AM32)*100</f>
        <v>#DIV/0!</v>
      </c>
      <c r="AO32" s="92" t="e">
        <f aca="false">AM32/1.2</f>
        <v>#DIV/0!</v>
      </c>
      <c r="AP32" s="92" t="e">
        <f aca="false">AM32*1.2</f>
        <v>#DIV/0!</v>
      </c>
      <c r="AQ32" s="86" t="e">
        <f aca="false">AND((AE32)&gt;=MIN(AO32),(AE32)&lt;=MAX(AP32))</f>
        <v>#DIV/0!</v>
      </c>
      <c r="AR32" s="86" t="e">
        <f aca="false">AND((AH32)&gt;=MIN(AO32),(AH32)&lt;=MAX(AP32))</f>
        <v>#DIV/0!</v>
      </c>
      <c r="AS32" s="86" t="e">
        <f aca="false">AND((AK32)&gt;=MIN(AO32),(AK32)&lt;=MAX(AP32))</f>
        <v>#DIV/0!</v>
      </c>
    </row>
    <row r="33" s="38" customFormat="true" ht="104.25" hidden="false" customHeight="true" outlineLevel="0" collapsed="false">
      <c r="A33" s="28" t="n">
        <v>24</v>
      </c>
      <c r="B33" s="104" t="s">
        <v>730</v>
      </c>
      <c r="C33" s="215"/>
      <c r="D33" s="29" t="s">
        <v>113</v>
      </c>
      <c r="E33" s="30" t="s">
        <v>40</v>
      </c>
      <c r="F33" s="31" t="n">
        <v>10</v>
      </c>
      <c r="G33" s="32" t="n">
        <f aca="false">Q33</f>
        <v>338.33</v>
      </c>
      <c r="H33" s="42" t="s">
        <v>114</v>
      </c>
      <c r="I33" s="34" t="n">
        <f aca="false">406/1.2</f>
        <v>338.33</v>
      </c>
      <c r="J33" s="34" t="n">
        <f aca="false">F33*I33</f>
        <v>3383.3</v>
      </c>
      <c r="K33" s="42" t="s">
        <v>115</v>
      </c>
      <c r="L33" s="34" t="n">
        <f aca="false">406/1.2</f>
        <v>338.33</v>
      </c>
      <c r="M33" s="34" t="n">
        <f aca="false">F33*L33</f>
        <v>3383.3</v>
      </c>
      <c r="N33" s="42" t="s">
        <v>116</v>
      </c>
      <c r="O33" s="34" t="n">
        <f aca="false">406/1.2</f>
        <v>338.33</v>
      </c>
      <c r="P33" s="34" t="n">
        <f aca="false">F33*O33</f>
        <v>3383.3</v>
      </c>
      <c r="Q33" s="35" t="n">
        <f aca="false">AVERAGE(I33,L33,O33)</f>
        <v>338.33</v>
      </c>
      <c r="R33" s="36" t="n">
        <f aca="false">G33*100/Q33-100</f>
        <v>0</v>
      </c>
      <c r="S33" s="35" t="n">
        <f aca="false">Q33*F33</f>
        <v>3383.3</v>
      </c>
      <c r="T33" s="37"/>
      <c r="V33" s="39" t="n">
        <f aca="false">ROUND(I33*100/Q33-100,0)</f>
        <v>0</v>
      </c>
      <c r="W33" s="39" t="n">
        <f aca="false">ROUND(L33*100/Q33-100,0)</f>
        <v>0</v>
      </c>
      <c r="X33" s="39" t="n">
        <f aca="false">ROUND(O33*100/Q33-100,0)</f>
        <v>0</v>
      </c>
      <c r="Y33" s="85" t="n">
        <f aca="false">Q33/1.2</f>
        <v>281.94</v>
      </c>
      <c r="Z33" s="85" t="n">
        <f aca="false">Q33*1.2</f>
        <v>406</v>
      </c>
      <c r="AA33" s="86" t="n">
        <f aca="false">AND((I33)&gt;=MIN(Y33),(I33)&lt;=MAX(Z33))</f>
        <v>1</v>
      </c>
      <c r="AB33" s="86" t="n">
        <f aca="false">AND((L33)&gt;=MIN(Y33),(L33)&lt;=MAX(Z33))</f>
        <v>1</v>
      </c>
      <c r="AC33" s="86" t="n">
        <f aca="false">AND((O33)&gt;=MIN(Y33),(O33)&lt;=MAX(Z33))</f>
        <v>1</v>
      </c>
      <c r="AD33" s="95"/>
      <c r="AE33" s="88"/>
      <c r="AF33" s="88" t="n">
        <f aca="false">AE33*F33</f>
        <v>0</v>
      </c>
      <c r="AG33" s="95"/>
      <c r="AH33" s="88"/>
      <c r="AI33" s="89" t="n">
        <f aca="false">AH33*F33</f>
        <v>0</v>
      </c>
      <c r="AJ33" s="95"/>
      <c r="AK33" s="88"/>
      <c r="AL33" s="89" t="n">
        <f aca="false">AK33*F33</f>
        <v>0</v>
      </c>
      <c r="AM33" s="91" t="e">
        <f aca="false">AVERAGE(AE33,AH33,AK33)</f>
        <v>#DIV/0!</v>
      </c>
      <c r="AN33" s="91" t="e">
        <f aca="false">((G33-AM33)/AM33)*100</f>
        <v>#DIV/0!</v>
      </c>
      <c r="AO33" s="92" t="e">
        <f aca="false">AM33/1.2</f>
        <v>#DIV/0!</v>
      </c>
      <c r="AP33" s="92" t="e">
        <f aca="false">AM33*1.2</f>
        <v>#DIV/0!</v>
      </c>
      <c r="AQ33" s="86" t="e">
        <f aca="false">AND((AE33)&gt;=MIN(AO33),(AE33)&lt;=MAX(AP33))</f>
        <v>#DIV/0!</v>
      </c>
      <c r="AR33" s="86" t="e">
        <f aca="false">AND((AH33)&gt;=MIN(AO33),(AH33)&lt;=MAX(AP33))</f>
        <v>#DIV/0!</v>
      </c>
      <c r="AS33" s="86" t="e">
        <f aca="false">AND((AK33)&gt;=MIN(AO33),(AK33)&lt;=MAX(AP33))</f>
        <v>#DIV/0!</v>
      </c>
    </row>
    <row r="34" s="38" customFormat="true" ht="104.25" hidden="false" customHeight="true" outlineLevel="0" collapsed="false">
      <c r="A34" s="28" t="n">
        <v>25</v>
      </c>
      <c r="B34" s="104" t="s">
        <v>730</v>
      </c>
      <c r="C34" s="215"/>
      <c r="D34" s="29" t="s">
        <v>117</v>
      </c>
      <c r="E34" s="30" t="s">
        <v>40</v>
      </c>
      <c r="F34" s="31" t="n">
        <v>5</v>
      </c>
      <c r="G34" s="32" t="n">
        <f aca="false">Q34</f>
        <v>548.25</v>
      </c>
      <c r="H34" s="42" t="s">
        <v>118</v>
      </c>
      <c r="I34" s="34" t="n">
        <f aca="false">657.72/1.2</f>
        <v>548.1</v>
      </c>
      <c r="J34" s="34" t="n">
        <f aca="false">F34*I34</f>
        <v>2740.5</v>
      </c>
      <c r="K34" s="42" t="s">
        <v>119</v>
      </c>
      <c r="L34" s="34" t="n">
        <f aca="false">658/1.2</f>
        <v>548.33</v>
      </c>
      <c r="M34" s="34" t="n">
        <f aca="false">F34*L34</f>
        <v>2741.65</v>
      </c>
      <c r="N34" s="42" t="s">
        <v>120</v>
      </c>
      <c r="O34" s="34" t="n">
        <f aca="false">658/1.2</f>
        <v>548.33</v>
      </c>
      <c r="P34" s="34" t="n">
        <f aca="false">F34*O34</f>
        <v>2741.65</v>
      </c>
      <c r="Q34" s="35" t="n">
        <f aca="false">AVERAGE(I34,L34,O34)</f>
        <v>548.25</v>
      </c>
      <c r="R34" s="36" t="n">
        <f aca="false">G34*100/Q34-100</f>
        <v>0</v>
      </c>
      <c r="S34" s="35" t="n">
        <f aca="false">Q34*F34</f>
        <v>2741.25</v>
      </c>
      <c r="T34" s="37"/>
      <c r="V34" s="39" t="n">
        <f aca="false">ROUND(I34*100/Q34-100,0)</f>
        <v>-0</v>
      </c>
      <c r="W34" s="39" t="n">
        <f aca="false">ROUND(L34*100/Q34-100,0)</f>
        <v>0</v>
      </c>
      <c r="X34" s="39" t="n">
        <f aca="false">ROUND(O34*100/Q34-100,0)</f>
        <v>0</v>
      </c>
      <c r="Y34" s="85" t="n">
        <f aca="false">Q34/1.2</f>
        <v>456.88</v>
      </c>
      <c r="Z34" s="85" t="n">
        <f aca="false">Q34*1.2</f>
        <v>657.9</v>
      </c>
      <c r="AA34" s="86" t="n">
        <f aca="false">AND((I34)&gt;=MIN(Y34),(I34)&lt;=MAX(Z34))</f>
        <v>1</v>
      </c>
      <c r="AB34" s="86" t="n">
        <f aca="false">AND((L34)&gt;=MIN(Y34),(L34)&lt;=MAX(Z34))</f>
        <v>1</v>
      </c>
      <c r="AC34" s="86" t="n">
        <f aca="false">AND((O34)&gt;=MIN(Y34),(O34)&lt;=MAX(Z34))</f>
        <v>1</v>
      </c>
      <c r="AD34" s="95"/>
      <c r="AE34" s="88"/>
      <c r="AF34" s="88" t="n">
        <f aca="false">AE34*F34</f>
        <v>0</v>
      </c>
      <c r="AG34" s="95"/>
      <c r="AH34" s="88"/>
      <c r="AI34" s="89" t="n">
        <f aca="false">AH34*F34</f>
        <v>0</v>
      </c>
      <c r="AJ34" s="95"/>
      <c r="AK34" s="88"/>
      <c r="AL34" s="89" t="n">
        <f aca="false">AK34*F34</f>
        <v>0</v>
      </c>
      <c r="AM34" s="91" t="e">
        <f aca="false">AVERAGE(AE34,AH34,AK34)</f>
        <v>#DIV/0!</v>
      </c>
      <c r="AN34" s="91" t="e">
        <f aca="false">((G34-AM34)/AM34)*100</f>
        <v>#DIV/0!</v>
      </c>
      <c r="AO34" s="92" t="e">
        <f aca="false">AM34/1.2</f>
        <v>#DIV/0!</v>
      </c>
      <c r="AP34" s="92" t="e">
        <f aca="false">AM34*1.2</f>
        <v>#DIV/0!</v>
      </c>
      <c r="AQ34" s="86" t="e">
        <f aca="false">AND((AE34)&gt;=MIN(AO34),(AE34)&lt;=MAX(AP34))</f>
        <v>#DIV/0!</v>
      </c>
      <c r="AR34" s="86" t="e">
        <f aca="false">AND((AH34)&gt;=MIN(AO34),(AH34)&lt;=MAX(AP34))</f>
        <v>#DIV/0!</v>
      </c>
      <c r="AS34" s="86" t="e">
        <f aca="false">AND((AK34)&gt;=MIN(AO34),(AK34)&lt;=MAX(AP34))</f>
        <v>#DIV/0!</v>
      </c>
    </row>
    <row r="35" s="38" customFormat="true" ht="104.25" hidden="false" customHeight="true" outlineLevel="0" collapsed="false">
      <c r="A35" s="28" t="n">
        <v>26</v>
      </c>
      <c r="B35" s="104" t="s">
        <v>730</v>
      </c>
      <c r="C35" s="215"/>
      <c r="D35" s="29" t="s">
        <v>121</v>
      </c>
      <c r="E35" s="30" t="s">
        <v>40</v>
      </c>
      <c r="F35" s="31" t="n">
        <v>5</v>
      </c>
      <c r="G35" s="32" t="n">
        <f aca="false">Q35</f>
        <v>192.41</v>
      </c>
      <c r="H35" s="42" t="s">
        <v>122</v>
      </c>
      <c r="I35" s="34" t="n">
        <f aca="false">225.37/1.2</f>
        <v>187.81</v>
      </c>
      <c r="J35" s="34" t="n">
        <f aca="false">F35*I35</f>
        <v>939.05</v>
      </c>
      <c r="K35" s="42" t="s">
        <v>123</v>
      </c>
      <c r="L35" s="34" t="n">
        <f aca="false">2123/10/1.2</f>
        <v>176.92</v>
      </c>
      <c r="M35" s="34" t="n">
        <f aca="false">F35*L35</f>
        <v>884.6</v>
      </c>
      <c r="N35" s="42" t="s">
        <v>124</v>
      </c>
      <c r="O35" s="34" t="n">
        <f aca="false">255/1.2</f>
        <v>212.5</v>
      </c>
      <c r="P35" s="34" t="n">
        <f aca="false">F35*O35</f>
        <v>1062.5</v>
      </c>
      <c r="Q35" s="35" t="n">
        <f aca="false">AVERAGE(I35,L35,O35)</f>
        <v>192.41</v>
      </c>
      <c r="R35" s="36" t="n">
        <f aca="false">G35*100/Q35-100</f>
        <v>0</v>
      </c>
      <c r="S35" s="35" t="n">
        <f aca="false">Q35*F35</f>
        <v>962.05</v>
      </c>
      <c r="T35" s="37"/>
      <c r="V35" s="39" t="n">
        <f aca="false">ROUND(I35*100/Q35-100,0)</f>
        <v>-2</v>
      </c>
      <c r="W35" s="39" t="n">
        <f aca="false">ROUND(L35*100/Q35-100,0)</f>
        <v>-8</v>
      </c>
      <c r="X35" s="39" t="n">
        <f aca="false">ROUND(O35*100/Q35-100,0)</f>
        <v>10</v>
      </c>
      <c r="Y35" s="85" t="n">
        <f aca="false">Q35/1.2</f>
        <v>160.34</v>
      </c>
      <c r="Z35" s="85" t="n">
        <f aca="false">Q35*1.2</f>
        <v>230.89</v>
      </c>
      <c r="AA35" s="86" t="n">
        <f aca="false">AND((I35)&gt;=MIN(Y35),(I35)&lt;=MAX(Z35))</f>
        <v>1</v>
      </c>
      <c r="AB35" s="86" t="n">
        <f aca="false">AND((L35)&gt;=MIN(Y35),(L35)&lt;=MAX(Z35))</f>
        <v>1</v>
      </c>
      <c r="AC35" s="86" t="n">
        <f aca="false">AND((O35)&gt;=MIN(Y35),(O35)&lt;=MAX(Z35))</f>
        <v>1</v>
      </c>
      <c r="AD35" s="95"/>
      <c r="AE35" s="88"/>
      <c r="AF35" s="88" t="n">
        <f aca="false">AE35*F35</f>
        <v>0</v>
      </c>
      <c r="AG35" s="95"/>
      <c r="AH35" s="88"/>
      <c r="AI35" s="89" t="n">
        <f aca="false">AH35*F35</f>
        <v>0</v>
      </c>
      <c r="AJ35" s="95"/>
      <c r="AK35" s="88"/>
      <c r="AL35" s="89" t="n">
        <f aca="false">AK35*F35</f>
        <v>0</v>
      </c>
      <c r="AM35" s="91" t="e">
        <f aca="false">AVERAGE(AE35,AH35,AK35)</f>
        <v>#DIV/0!</v>
      </c>
      <c r="AN35" s="91" t="e">
        <f aca="false">((G35-AM35)/AM35)*100</f>
        <v>#DIV/0!</v>
      </c>
      <c r="AO35" s="92" t="e">
        <f aca="false">AM35/1.2</f>
        <v>#DIV/0!</v>
      </c>
      <c r="AP35" s="92" t="e">
        <f aca="false">AM35*1.2</f>
        <v>#DIV/0!</v>
      </c>
      <c r="AQ35" s="86" t="e">
        <f aca="false">AND((AE35)&gt;=MIN(AO35),(AE35)&lt;=MAX(AP35))</f>
        <v>#DIV/0!</v>
      </c>
      <c r="AR35" s="86" t="e">
        <f aca="false">AND((AH35)&gt;=MIN(AO35),(AH35)&lt;=MAX(AP35))</f>
        <v>#DIV/0!</v>
      </c>
      <c r="AS35" s="86" t="e">
        <f aca="false">AND((AK35)&gt;=MIN(AO35),(AK35)&lt;=MAX(AP35))</f>
        <v>#DIV/0!</v>
      </c>
    </row>
    <row r="36" s="38" customFormat="true" ht="104.25" hidden="false" customHeight="true" outlineLevel="0" collapsed="false">
      <c r="A36" s="28" t="n">
        <v>27</v>
      </c>
      <c r="B36" s="104" t="s">
        <v>730</v>
      </c>
      <c r="C36" s="215"/>
      <c r="D36" s="29" t="s">
        <v>125</v>
      </c>
      <c r="E36" s="30" t="s">
        <v>40</v>
      </c>
      <c r="F36" s="31" t="n">
        <v>5</v>
      </c>
      <c r="G36" s="32" t="n">
        <f aca="false">Q36</f>
        <v>173.95</v>
      </c>
      <c r="H36" s="42" t="s">
        <v>126</v>
      </c>
      <c r="I36" s="34" t="n">
        <f aca="false">173.18/1.2*1.05</f>
        <v>151.53</v>
      </c>
      <c r="J36" s="34" t="n">
        <f aca="false">F36*I36</f>
        <v>757.65</v>
      </c>
      <c r="K36" s="42" t="s">
        <v>127</v>
      </c>
      <c r="L36" s="34" t="n">
        <f aca="false">225.4/1.2</f>
        <v>187.83</v>
      </c>
      <c r="M36" s="34" t="n">
        <f aca="false">F36*L36</f>
        <v>939.15</v>
      </c>
      <c r="N36" s="42" t="s">
        <v>128</v>
      </c>
      <c r="O36" s="34" t="n">
        <f aca="false">219/1.2</f>
        <v>182.5</v>
      </c>
      <c r="P36" s="34" t="n">
        <f aca="false">F36*O36</f>
        <v>912.5</v>
      </c>
      <c r="Q36" s="35" t="n">
        <f aca="false">AVERAGE(I36,L36,O36)</f>
        <v>173.95</v>
      </c>
      <c r="R36" s="36" t="n">
        <f aca="false">G36*100/Q36-100</f>
        <v>0</v>
      </c>
      <c r="S36" s="35" t="n">
        <f aca="false">Q36*F36</f>
        <v>869.75</v>
      </c>
      <c r="T36" s="37"/>
      <c r="V36" s="39" t="n">
        <f aca="false">ROUND(I36*100/Q36-100,0)</f>
        <v>-13</v>
      </c>
      <c r="W36" s="39" t="n">
        <f aca="false">ROUND(L36*100/Q36-100,0)</f>
        <v>8</v>
      </c>
      <c r="X36" s="39" t="n">
        <f aca="false">ROUND(O36*100/Q36-100,0)</f>
        <v>5</v>
      </c>
      <c r="Y36" s="85" t="n">
        <f aca="false">Q36/1.2</f>
        <v>144.96</v>
      </c>
      <c r="Z36" s="85" t="n">
        <f aca="false">Q36*1.2</f>
        <v>208.74</v>
      </c>
      <c r="AA36" s="86" t="n">
        <f aca="false">AND((I36)&gt;=MIN(Y36),(I36)&lt;=MAX(Z36))</f>
        <v>1</v>
      </c>
      <c r="AB36" s="86" t="n">
        <f aca="false">AND((L36)&gt;=MIN(Y36),(L36)&lt;=MAX(Z36))</f>
        <v>1</v>
      </c>
      <c r="AC36" s="86" t="n">
        <f aca="false">AND((O36)&gt;=MIN(Y36),(O36)&lt;=MAX(Z36))</f>
        <v>1</v>
      </c>
      <c r="AD36" s="95"/>
      <c r="AE36" s="88"/>
      <c r="AF36" s="88" t="n">
        <f aca="false">AE36*F36</f>
        <v>0</v>
      </c>
      <c r="AG36" s="95"/>
      <c r="AH36" s="88"/>
      <c r="AI36" s="89" t="n">
        <f aca="false">AH36*F36</f>
        <v>0</v>
      </c>
      <c r="AJ36" s="95"/>
      <c r="AK36" s="88"/>
      <c r="AL36" s="89" t="n">
        <f aca="false">AK36*F36</f>
        <v>0</v>
      </c>
      <c r="AM36" s="91" t="e">
        <f aca="false">AVERAGE(AE36,AH36,AK36)</f>
        <v>#DIV/0!</v>
      </c>
      <c r="AN36" s="91" t="e">
        <f aca="false">((G36-AM36)/AM36)*100</f>
        <v>#DIV/0!</v>
      </c>
      <c r="AO36" s="92" t="e">
        <f aca="false">AM36/1.2</f>
        <v>#DIV/0!</v>
      </c>
      <c r="AP36" s="92" t="e">
        <f aca="false">AM36*1.2</f>
        <v>#DIV/0!</v>
      </c>
      <c r="AQ36" s="86" t="e">
        <f aca="false">AND((AE36)&gt;=MIN(AO36),(AE36)&lt;=MAX(AP36))</f>
        <v>#DIV/0!</v>
      </c>
      <c r="AR36" s="86" t="e">
        <f aca="false">AND((AH36)&gt;=MIN(AO36),(AH36)&lt;=MAX(AP36))</f>
        <v>#DIV/0!</v>
      </c>
      <c r="AS36" s="86" t="e">
        <f aca="false">AND((AK36)&gt;=MIN(AO36),(AK36)&lt;=MAX(AP36))</f>
        <v>#DIV/0!</v>
      </c>
    </row>
    <row r="37" s="38" customFormat="true" ht="104.25" hidden="false" customHeight="true" outlineLevel="0" collapsed="false">
      <c r="A37" s="28" t="n">
        <v>28</v>
      </c>
      <c r="B37" s="104" t="s">
        <v>731</v>
      </c>
      <c r="C37" s="215"/>
      <c r="D37" s="29" t="s">
        <v>129</v>
      </c>
      <c r="E37" s="30" t="s">
        <v>40</v>
      </c>
      <c r="F37" s="31" t="n">
        <v>20</v>
      </c>
      <c r="G37" s="32" t="n">
        <f aca="false">Q37</f>
        <v>1554.72</v>
      </c>
      <c r="H37" s="87" t="s">
        <v>130</v>
      </c>
      <c r="I37" s="34" t="n">
        <f aca="false">1802/1.2</f>
        <v>1501.67</v>
      </c>
      <c r="J37" s="34" t="n">
        <f aca="false">F37*I37</f>
        <v>30033.4</v>
      </c>
      <c r="K37" s="194" t="s">
        <v>131</v>
      </c>
      <c r="L37" s="34" t="n">
        <f aca="false">1950/1.2</f>
        <v>1625</v>
      </c>
      <c r="M37" s="34" t="n">
        <f aca="false">F37*L37</f>
        <v>32500</v>
      </c>
      <c r="N37" s="194" t="s">
        <v>132</v>
      </c>
      <c r="O37" s="34" t="n">
        <f aca="false">1845/1.2</f>
        <v>1537.5</v>
      </c>
      <c r="P37" s="34" t="n">
        <f aca="false">F37*O37</f>
        <v>30750</v>
      </c>
      <c r="Q37" s="35" t="n">
        <f aca="false">AVERAGE(I37,L37,O37)</f>
        <v>1554.72</v>
      </c>
      <c r="R37" s="36" t="n">
        <f aca="false">G37*100/Q37-100</f>
        <v>0</v>
      </c>
      <c r="S37" s="35" t="n">
        <f aca="false">Q37*F37</f>
        <v>31094.4</v>
      </c>
      <c r="T37" s="37"/>
      <c r="V37" s="39" t="n">
        <f aca="false">ROUND(I37*100/Q37-100,0)</f>
        <v>-3</v>
      </c>
      <c r="W37" s="39" t="n">
        <f aca="false">ROUND(L37*100/Q37-100,0)</f>
        <v>5</v>
      </c>
      <c r="X37" s="39" t="n">
        <f aca="false">ROUND(O37*100/Q37-100,0)</f>
        <v>-1</v>
      </c>
      <c r="Y37" s="85" t="n">
        <f aca="false">Q37/1.2</f>
        <v>1295.6</v>
      </c>
      <c r="Z37" s="85" t="n">
        <f aca="false">Q37*1.2</f>
        <v>1865.66</v>
      </c>
      <c r="AA37" s="86" t="n">
        <f aca="false">AND((I37)&gt;=MIN(Y37),(I37)&lt;=MAX(Z37))</f>
        <v>1</v>
      </c>
      <c r="AB37" s="86" t="n">
        <f aca="false">AND((L37)&gt;=MIN(Y37),(L37)&lt;=MAX(Z37))</f>
        <v>1</v>
      </c>
      <c r="AC37" s="86" t="n">
        <f aca="false">AND((O37)&gt;=MIN(Y37),(O37)&lt;=MAX(Z37))</f>
        <v>1</v>
      </c>
      <c r="AD37" s="95"/>
      <c r="AE37" s="88"/>
      <c r="AF37" s="88" t="n">
        <f aca="false">AE37*F37</f>
        <v>0</v>
      </c>
      <c r="AG37" s="95"/>
      <c r="AH37" s="88"/>
      <c r="AI37" s="89" t="n">
        <f aca="false">AH37*F37</f>
        <v>0</v>
      </c>
      <c r="AJ37" s="95"/>
      <c r="AK37" s="88"/>
      <c r="AL37" s="89" t="n">
        <f aca="false">AK37*F37</f>
        <v>0</v>
      </c>
      <c r="AM37" s="91" t="e">
        <f aca="false">AVERAGE(AE37,AH37,AK37)</f>
        <v>#DIV/0!</v>
      </c>
      <c r="AN37" s="91" t="e">
        <f aca="false">((G37-AM37)/AM37)*100</f>
        <v>#DIV/0!</v>
      </c>
      <c r="AO37" s="92" t="e">
        <f aca="false">AM37/1.2</f>
        <v>#DIV/0!</v>
      </c>
      <c r="AP37" s="92" t="e">
        <f aca="false">AM37*1.2</f>
        <v>#DIV/0!</v>
      </c>
      <c r="AQ37" s="86" t="e">
        <f aca="false">AND((AE37)&gt;=MIN(AO37),(AE37)&lt;=MAX(AP37))</f>
        <v>#DIV/0!</v>
      </c>
      <c r="AR37" s="86" t="e">
        <f aca="false">AND((AH37)&gt;=MIN(AO37),(AH37)&lt;=MAX(AP37))</f>
        <v>#DIV/0!</v>
      </c>
      <c r="AS37" s="86" t="e">
        <f aca="false">AND((AK37)&gt;=MIN(AO37),(AK37)&lt;=MAX(AP37))</f>
        <v>#DIV/0!</v>
      </c>
    </row>
    <row r="38" s="38" customFormat="true" ht="104.25" hidden="false" customHeight="true" outlineLevel="0" collapsed="false">
      <c r="A38" s="28" t="n">
        <v>29</v>
      </c>
      <c r="B38" s="104" t="s">
        <v>732</v>
      </c>
      <c r="C38" s="215"/>
      <c r="D38" s="29" t="s">
        <v>133</v>
      </c>
      <c r="E38" s="30" t="s">
        <v>40</v>
      </c>
      <c r="F38" s="31" t="n">
        <v>20</v>
      </c>
      <c r="G38" s="32" t="n">
        <f aca="false">Q38</f>
        <v>664.72</v>
      </c>
      <c r="H38" s="42" t="s">
        <v>134</v>
      </c>
      <c r="I38" s="34" t="n">
        <f aca="false">900/1.2</f>
        <v>750</v>
      </c>
      <c r="J38" s="34" t="n">
        <f aca="false">F38*I38</f>
        <v>15000</v>
      </c>
      <c r="K38" s="42" t="s">
        <v>135</v>
      </c>
      <c r="L38" s="34" t="n">
        <f aca="false">701/1.2</f>
        <v>584.17</v>
      </c>
      <c r="M38" s="34" t="n">
        <f aca="false">F38*L38</f>
        <v>11683.4</v>
      </c>
      <c r="N38" s="42" t="s">
        <v>136</v>
      </c>
      <c r="O38" s="34" t="n">
        <f aca="false">792/1.2</f>
        <v>660</v>
      </c>
      <c r="P38" s="34" t="n">
        <f aca="false">F38*O38</f>
        <v>13200</v>
      </c>
      <c r="Q38" s="35" t="n">
        <f aca="false">AVERAGE(I38,L38,O38)</f>
        <v>664.72</v>
      </c>
      <c r="R38" s="36" t="n">
        <f aca="false">G38*100/Q38-100</f>
        <v>0</v>
      </c>
      <c r="S38" s="35" t="n">
        <f aca="false">Q38*F38</f>
        <v>13294.4</v>
      </c>
      <c r="T38" s="37"/>
      <c r="V38" s="39" t="n">
        <f aca="false">ROUND(I38*100/Q38-100,0)</f>
        <v>13</v>
      </c>
      <c r="W38" s="39" t="n">
        <f aca="false">ROUND(L38*100/Q38-100,0)</f>
        <v>-12</v>
      </c>
      <c r="X38" s="39" t="n">
        <f aca="false">ROUND(O38*100/Q38-100,0)</f>
        <v>-1</v>
      </c>
      <c r="Y38" s="85" t="n">
        <f aca="false">Q38/1.2</f>
        <v>553.93</v>
      </c>
      <c r="Z38" s="85" t="n">
        <f aca="false">Q38*1.2</f>
        <v>797.66</v>
      </c>
      <c r="AA38" s="86" t="n">
        <f aca="false">AND((I38)&gt;=MIN(Y38),(I38)&lt;=MAX(Z38))</f>
        <v>1</v>
      </c>
      <c r="AB38" s="86" t="n">
        <f aca="false">AND((L38)&gt;=MIN(Y38),(L38)&lt;=MAX(Z38))</f>
        <v>1</v>
      </c>
      <c r="AC38" s="86" t="n">
        <f aca="false">AND((O38)&gt;=MIN(Y38),(O38)&lt;=MAX(Z38))</f>
        <v>1</v>
      </c>
      <c r="AD38" s="95"/>
      <c r="AE38" s="88"/>
      <c r="AF38" s="88" t="n">
        <f aca="false">AE38*F38</f>
        <v>0</v>
      </c>
      <c r="AG38" s="95"/>
      <c r="AH38" s="88"/>
      <c r="AI38" s="89" t="n">
        <f aca="false">AH38*F38</f>
        <v>0</v>
      </c>
      <c r="AJ38" s="95"/>
      <c r="AK38" s="88"/>
      <c r="AL38" s="89" t="n">
        <f aca="false">AK38*F38</f>
        <v>0</v>
      </c>
      <c r="AM38" s="91" t="e">
        <f aca="false">AVERAGE(AE38,AH38,AK38)</f>
        <v>#DIV/0!</v>
      </c>
      <c r="AN38" s="91" t="e">
        <f aca="false">((G38-AM38)/AM38)*100</f>
        <v>#DIV/0!</v>
      </c>
      <c r="AO38" s="92" t="e">
        <f aca="false">AM38/1.2</f>
        <v>#DIV/0!</v>
      </c>
      <c r="AP38" s="92" t="e">
        <f aca="false">AM38*1.2</f>
        <v>#DIV/0!</v>
      </c>
      <c r="AQ38" s="86" t="e">
        <f aca="false">AND((AE38)&gt;=MIN(AO38),(AE38)&lt;=MAX(AP38))</f>
        <v>#DIV/0!</v>
      </c>
      <c r="AR38" s="86" t="e">
        <f aca="false">AND((AH38)&gt;=MIN(AO38),(AH38)&lt;=MAX(AP38))</f>
        <v>#DIV/0!</v>
      </c>
      <c r="AS38" s="86" t="e">
        <f aca="false">AND((AK38)&gt;=MIN(AO38),(AK38)&lt;=MAX(AP38))</f>
        <v>#DIV/0!</v>
      </c>
    </row>
    <row r="39" s="38" customFormat="true" ht="104.25" hidden="false" customHeight="true" outlineLevel="0" collapsed="false">
      <c r="A39" s="28" t="n">
        <v>30</v>
      </c>
      <c r="B39" s="102"/>
      <c r="C39" s="220"/>
      <c r="D39" s="29" t="s">
        <v>137</v>
      </c>
      <c r="E39" s="30" t="s">
        <v>27</v>
      </c>
      <c r="F39" s="31" t="n">
        <v>25.5</v>
      </c>
      <c r="G39" s="32" t="n">
        <f aca="false">Q39</f>
        <v>375</v>
      </c>
      <c r="H39" s="33" t="s">
        <v>138</v>
      </c>
      <c r="I39" s="34" t="n">
        <f aca="false">450/1.2</f>
        <v>375</v>
      </c>
      <c r="J39" s="34" t="n">
        <f aca="false">F39*I39</f>
        <v>9562.5</v>
      </c>
      <c r="K39" s="33" t="s">
        <v>139</v>
      </c>
      <c r="L39" s="34" t="n">
        <f aca="false">450/1.2</f>
        <v>375</v>
      </c>
      <c r="M39" s="34" t="n">
        <f aca="false">F39*L39</f>
        <v>9562.5</v>
      </c>
      <c r="N39" s="33" t="s">
        <v>140</v>
      </c>
      <c r="O39" s="34" t="n">
        <f aca="false">450/1.2</f>
        <v>375</v>
      </c>
      <c r="P39" s="34" t="n">
        <f aca="false">F39*O39</f>
        <v>9562.5</v>
      </c>
      <c r="Q39" s="35" t="n">
        <f aca="false">AVERAGE(I39,L39,O39)</f>
        <v>375</v>
      </c>
      <c r="R39" s="36" t="n">
        <f aca="false">G39*100/Q39-100</f>
        <v>0</v>
      </c>
      <c r="S39" s="35" t="n">
        <f aca="false">Q39*F39</f>
        <v>9562.5</v>
      </c>
      <c r="T39" s="37"/>
      <c r="V39" s="39" t="n">
        <f aca="false">ROUND(I39*100/Q39-100,0)</f>
        <v>0</v>
      </c>
      <c r="W39" s="39" t="n">
        <f aca="false">ROUND(L39*100/Q39-100,0)</f>
        <v>0</v>
      </c>
      <c r="X39" s="39" t="n">
        <f aca="false">ROUND(O39*100/Q39-100,0)</f>
        <v>0</v>
      </c>
      <c r="Y39" s="85" t="n">
        <f aca="false">Q39/1.2</f>
        <v>312.5</v>
      </c>
      <c r="Z39" s="85" t="n">
        <f aca="false">Q39*1.2</f>
        <v>450</v>
      </c>
      <c r="AA39" s="86" t="n">
        <f aca="false">AND((I39)&gt;=MIN(Y39),(I39)&lt;=MAX(Z39))</f>
        <v>1</v>
      </c>
      <c r="AB39" s="86" t="n">
        <f aca="false">AND((L39)&gt;=MIN(Y39),(L39)&lt;=MAX(Z39))</f>
        <v>1</v>
      </c>
      <c r="AC39" s="86" t="n">
        <f aca="false">AND((O39)&gt;=MIN(Y39),(O39)&lt;=MAX(Z39))</f>
        <v>1</v>
      </c>
      <c r="AD39" s="95" t="s">
        <v>139</v>
      </c>
      <c r="AE39" s="88" t="n">
        <f aca="false">450/1.2</f>
        <v>375</v>
      </c>
      <c r="AF39" s="88" t="n">
        <f aca="false">AE39*F39</f>
        <v>9562.5</v>
      </c>
      <c r="AG39" s="95" t="s">
        <v>138</v>
      </c>
      <c r="AH39" s="88" t="n">
        <f aca="false">450/1.2</f>
        <v>375</v>
      </c>
      <c r="AI39" s="89" t="n">
        <f aca="false">AH39*F39</f>
        <v>9562.5</v>
      </c>
      <c r="AJ39" s="95" t="s">
        <v>140</v>
      </c>
      <c r="AK39" s="88" t="n">
        <f aca="false">450/1.2</f>
        <v>375</v>
      </c>
      <c r="AL39" s="89" t="n">
        <f aca="false">AK39*F39</f>
        <v>9562.5</v>
      </c>
      <c r="AM39" s="91" t="n">
        <f aca="false">AVERAGE(AE39,AH39,AK39)</f>
        <v>375</v>
      </c>
      <c r="AN39" s="91" t="n">
        <f aca="false">((G39-AM39)/AM39)*100</f>
        <v>0</v>
      </c>
      <c r="AO39" s="92" t="n">
        <f aca="false">AM39/1.2</f>
        <v>312.5</v>
      </c>
      <c r="AP39" s="92" t="n">
        <f aca="false">AM39*1.2</f>
        <v>450</v>
      </c>
      <c r="AQ39" s="86" t="n">
        <f aca="false">AND((AE39)&gt;=MIN(AO39),(AE39)&lt;=MAX(AP39))</f>
        <v>1</v>
      </c>
      <c r="AR39" s="86" t="n">
        <f aca="false">AND((AH39)&gt;=MIN(AO39),(AH39)&lt;=MAX(AP39))</f>
        <v>1</v>
      </c>
      <c r="AS39" s="86" t="n">
        <f aca="false">AND((AK39)&gt;=MIN(AO39),(AK39)&lt;=MAX(AP39))</f>
        <v>1</v>
      </c>
    </row>
    <row r="40" s="38" customFormat="true" ht="104.25" hidden="false" customHeight="true" outlineLevel="0" collapsed="false">
      <c r="A40" s="28" t="n">
        <v>31</v>
      </c>
      <c r="B40" s="102"/>
      <c r="C40" s="220"/>
      <c r="D40" s="29" t="s">
        <v>141</v>
      </c>
      <c r="E40" s="30" t="s">
        <v>27</v>
      </c>
      <c r="F40" s="31" t="n">
        <v>3774.5</v>
      </c>
      <c r="G40" s="32" t="n">
        <f aca="false">Q40</f>
        <v>375</v>
      </c>
      <c r="H40" s="33" t="s">
        <v>138</v>
      </c>
      <c r="I40" s="34" t="n">
        <f aca="false">450/1.2</f>
        <v>375</v>
      </c>
      <c r="J40" s="34" t="n">
        <f aca="false">F40*I40</f>
        <v>1415437.5</v>
      </c>
      <c r="K40" s="33" t="s">
        <v>139</v>
      </c>
      <c r="L40" s="34" t="n">
        <f aca="false">450/1.2</f>
        <v>375</v>
      </c>
      <c r="M40" s="34" t="n">
        <f aca="false">F40*L40</f>
        <v>1415437.5</v>
      </c>
      <c r="N40" s="33" t="s">
        <v>140</v>
      </c>
      <c r="O40" s="34" t="n">
        <f aca="false">450/1.2</f>
        <v>375</v>
      </c>
      <c r="P40" s="34" t="n">
        <f aca="false">F40*O40</f>
        <v>1415437.5</v>
      </c>
      <c r="Q40" s="35" t="n">
        <f aca="false">AVERAGE(I40,L40,O40)</f>
        <v>375</v>
      </c>
      <c r="R40" s="36" t="n">
        <f aca="false">G40*100/Q40-100</f>
        <v>0</v>
      </c>
      <c r="S40" s="35" t="n">
        <f aca="false">Q40*F40</f>
        <v>1415437.5</v>
      </c>
      <c r="T40" s="37"/>
      <c r="V40" s="39" t="n">
        <f aca="false">ROUND(I40*100/Q40-100,0)</f>
        <v>0</v>
      </c>
      <c r="W40" s="39" t="n">
        <f aca="false">ROUND(L40*100/Q40-100,0)</f>
        <v>0</v>
      </c>
      <c r="X40" s="39" t="n">
        <f aca="false">ROUND(O40*100/Q40-100,0)</f>
        <v>0</v>
      </c>
      <c r="Y40" s="85" t="n">
        <f aca="false">Q40/1.2</f>
        <v>312.5</v>
      </c>
      <c r="Z40" s="85" t="n">
        <f aca="false">Q40*1.2</f>
        <v>450</v>
      </c>
      <c r="AA40" s="86" t="n">
        <f aca="false">AND((I40)&gt;=MIN(Y40),(I40)&lt;=MAX(Z40))</f>
        <v>1</v>
      </c>
      <c r="AB40" s="86" t="n">
        <f aca="false">AND((L40)&gt;=MIN(Y40),(L40)&lt;=MAX(Z40))</f>
        <v>1</v>
      </c>
      <c r="AC40" s="86" t="n">
        <f aca="false">AND((O40)&gt;=MIN(Y40),(O40)&lt;=MAX(Z40))</f>
        <v>1</v>
      </c>
      <c r="AD40" s="95" t="s">
        <v>139</v>
      </c>
      <c r="AE40" s="88" t="n">
        <f aca="false">450/1.2</f>
        <v>375</v>
      </c>
      <c r="AF40" s="88" t="n">
        <f aca="false">AE40*F40</f>
        <v>1415437.5</v>
      </c>
      <c r="AG40" s="95" t="s">
        <v>733</v>
      </c>
      <c r="AH40" s="88" t="n">
        <f aca="false">450/1.2</f>
        <v>375</v>
      </c>
      <c r="AI40" s="89" t="n">
        <f aca="false">AH40*F40</f>
        <v>1415437.5</v>
      </c>
      <c r="AJ40" s="95" t="s">
        <v>734</v>
      </c>
      <c r="AK40" s="88" t="n">
        <f aca="false">450/1.2</f>
        <v>375</v>
      </c>
      <c r="AL40" s="89" t="n">
        <f aca="false">AK40*F40</f>
        <v>1415437.5</v>
      </c>
      <c r="AM40" s="91" t="n">
        <f aca="false">AVERAGE(AE40,AH40,AK40)</f>
        <v>375</v>
      </c>
      <c r="AN40" s="91" t="n">
        <f aca="false">((G40-AM40)/AM40)*100</f>
        <v>0</v>
      </c>
      <c r="AO40" s="92" t="n">
        <f aca="false">AM40/1.2</f>
        <v>312.5</v>
      </c>
      <c r="AP40" s="92" t="n">
        <f aca="false">AM40*1.2</f>
        <v>450</v>
      </c>
      <c r="AQ40" s="86" t="n">
        <f aca="false">AND((AE40)&gt;=MIN(AO40),(AE40)&lt;=MAX(AP40))</f>
        <v>1</v>
      </c>
      <c r="AR40" s="86" t="n">
        <f aca="false">AND((AH40)&gt;=MIN(AO40),(AH40)&lt;=MAX(AP40))</f>
        <v>1</v>
      </c>
      <c r="AS40" s="86" t="n">
        <f aca="false">AND((AK40)&gt;=MIN(AO40),(AK40)&lt;=MAX(AP40))</f>
        <v>1</v>
      </c>
    </row>
    <row r="41" s="38" customFormat="true" ht="104.25" hidden="false" customHeight="true" outlineLevel="0" collapsed="false">
      <c r="A41" s="28" t="n">
        <v>32</v>
      </c>
      <c r="B41" s="102"/>
      <c r="C41" s="220"/>
      <c r="D41" s="43" t="s">
        <v>142</v>
      </c>
      <c r="E41" s="44" t="s">
        <v>143</v>
      </c>
      <c r="F41" s="45" t="n">
        <v>5</v>
      </c>
      <c r="G41" s="32" t="n">
        <f aca="false">Q41</f>
        <v>1520.83</v>
      </c>
      <c r="H41" s="40" t="s">
        <v>144</v>
      </c>
      <c r="I41" s="34" t="n">
        <f aca="false">1917/1.2</f>
        <v>1597.5</v>
      </c>
      <c r="J41" s="34" t="n">
        <f aca="false">F41*I41</f>
        <v>7987.5</v>
      </c>
      <c r="K41" s="42" t="s">
        <v>145</v>
      </c>
      <c r="L41" s="34" t="n">
        <f aca="false">1780/1.2</f>
        <v>1483.33</v>
      </c>
      <c r="M41" s="34" t="n">
        <f aca="false">F41*L41</f>
        <v>7416.65</v>
      </c>
      <c r="N41" s="40" t="s">
        <v>146</v>
      </c>
      <c r="O41" s="34" t="n">
        <f aca="false">1778/1.2</f>
        <v>1481.67</v>
      </c>
      <c r="P41" s="34" t="n">
        <f aca="false">F41*O41</f>
        <v>7408.35</v>
      </c>
      <c r="Q41" s="35" t="n">
        <f aca="false">AVERAGE(I41,L41,O41)</f>
        <v>1520.83</v>
      </c>
      <c r="R41" s="36" t="n">
        <f aca="false">G41*100/Q41-100</f>
        <v>0</v>
      </c>
      <c r="S41" s="35" t="n">
        <f aca="false">Q41*F41</f>
        <v>7604.15</v>
      </c>
      <c r="T41" s="37"/>
      <c r="V41" s="39" t="n">
        <f aca="false">ROUND(I41*100/Q41-100,0)</f>
        <v>5</v>
      </c>
      <c r="W41" s="39" t="n">
        <f aca="false">ROUND(L41*100/Q41-100,0)</f>
        <v>-2</v>
      </c>
      <c r="X41" s="39" t="n">
        <f aca="false">ROUND(O41*100/Q41-100,0)</f>
        <v>-3</v>
      </c>
      <c r="Y41" s="85" t="n">
        <f aca="false">Q41/1.2</f>
        <v>1267.36</v>
      </c>
      <c r="Z41" s="85" t="n">
        <f aca="false">Q41*1.2</f>
        <v>1825</v>
      </c>
      <c r="AA41" s="86" t="n">
        <f aca="false">AND((I41)&gt;=MIN(Y41),(I41)&lt;=MAX(Z41))</f>
        <v>1</v>
      </c>
      <c r="AB41" s="86" t="n">
        <f aca="false">AND((L41)&gt;=MIN(Y41),(L41)&lt;=MAX(Z41))</f>
        <v>1</v>
      </c>
      <c r="AC41" s="86" t="n">
        <f aca="false">AND((O41)&gt;=MIN(Y41),(O41)&lt;=MAX(Z41))</f>
        <v>1</v>
      </c>
      <c r="AD41" s="95" t="s">
        <v>735</v>
      </c>
      <c r="AE41" s="88" t="n">
        <f aca="false">740/1.2</f>
        <v>616.67</v>
      </c>
      <c r="AF41" s="88" t="n">
        <f aca="false">AE41*F41</f>
        <v>3083.35</v>
      </c>
      <c r="AG41" s="95" t="s">
        <v>736</v>
      </c>
      <c r="AH41" s="88" t="n">
        <f aca="false">790/1.2</f>
        <v>658.33</v>
      </c>
      <c r="AI41" s="89" t="n">
        <f aca="false">AH41*F41</f>
        <v>3291.65</v>
      </c>
      <c r="AJ41" s="95" t="s">
        <v>737</v>
      </c>
      <c r="AK41" s="88" t="n">
        <f aca="false">795/1.2</f>
        <v>662.5</v>
      </c>
      <c r="AL41" s="89" t="n">
        <f aca="false">AK41*F41</f>
        <v>3312.5</v>
      </c>
      <c r="AM41" s="91" t="n">
        <f aca="false">AVERAGE(AE41,AH41,AK41)</f>
        <v>645.83</v>
      </c>
      <c r="AN41" s="91" t="n">
        <f aca="false">((G41-AM41)/AM41)*100</f>
        <v>135.48</v>
      </c>
      <c r="AO41" s="92" t="n">
        <f aca="false">AM41/1.2</f>
        <v>538.19</v>
      </c>
      <c r="AP41" s="92" t="n">
        <f aca="false">AM41*1.2</f>
        <v>775</v>
      </c>
      <c r="AQ41" s="86" t="n">
        <f aca="false">AND((AE41)&gt;=MIN(AO41),(AE41)&lt;=MAX(AP41))</f>
        <v>1</v>
      </c>
      <c r="AR41" s="86" t="n">
        <f aca="false">AND((AH41)&gt;=MIN(AO41),(AH41)&lt;=MAX(AP41))</f>
        <v>1</v>
      </c>
      <c r="AS41" s="86" t="n">
        <f aca="false">AND((AK41)&gt;=MIN(AO41),(AK41)&lt;=MAX(AP41))</f>
        <v>1</v>
      </c>
    </row>
    <row r="42" s="38" customFormat="true" ht="104.25" hidden="false" customHeight="true" outlineLevel="0" collapsed="false">
      <c r="A42" s="28" t="n">
        <v>33</v>
      </c>
      <c r="B42" s="102"/>
      <c r="C42" s="220"/>
      <c r="D42" s="43" t="s">
        <v>147</v>
      </c>
      <c r="E42" s="44" t="s">
        <v>143</v>
      </c>
      <c r="F42" s="45" t="n">
        <v>4</v>
      </c>
      <c r="G42" s="32" t="n">
        <f aca="false">Q42</f>
        <v>541.11</v>
      </c>
      <c r="H42" s="40" t="s">
        <v>148</v>
      </c>
      <c r="I42" s="34" t="n">
        <f aca="false">641/1.2</f>
        <v>534.17</v>
      </c>
      <c r="J42" s="34" t="n">
        <f aca="false">F42*I42</f>
        <v>2136.68</v>
      </c>
      <c r="K42" s="40" t="s">
        <v>149</v>
      </c>
      <c r="L42" s="34" t="n">
        <f aca="false">679/1.2</f>
        <v>565.83</v>
      </c>
      <c r="M42" s="34" t="n">
        <f aca="false">F42*L42</f>
        <v>2263.32</v>
      </c>
      <c r="N42" s="40" t="s">
        <v>150</v>
      </c>
      <c r="O42" s="34" t="n">
        <f aca="false">628/1.2</f>
        <v>523.33</v>
      </c>
      <c r="P42" s="34" t="n">
        <f aca="false">F42*O42</f>
        <v>2093.32</v>
      </c>
      <c r="Q42" s="35" t="n">
        <f aca="false">AVERAGE(I42,L42,O42)</f>
        <v>541.11</v>
      </c>
      <c r="R42" s="36" t="n">
        <f aca="false">G42*100/Q42-100</f>
        <v>0</v>
      </c>
      <c r="S42" s="35" t="n">
        <f aca="false">Q42*F42</f>
        <v>2164.44</v>
      </c>
      <c r="T42" s="37"/>
      <c r="V42" s="39" t="n">
        <f aca="false">ROUND(I42*100/Q42-100,0)</f>
        <v>-1</v>
      </c>
      <c r="W42" s="39" t="n">
        <f aca="false">ROUND(L42*100/Q42-100,0)</f>
        <v>5</v>
      </c>
      <c r="X42" s="39" t="n">
        <f aca="false">ROUND(O42*100/Q42-100,0)</f>
        <v>-3</v>
      </c>
      <c r="Y42" s="85" t="n">
        <f aca="false">Q42/1.2</f>
        <v>450.93</v>
      </c>
      <c r="Z42" s="85" t="n">
        <f aca="false">Q42*1.2</f>
        <v>649.33</v>
      </c>
      <c r="AA42" s="86" t="n">
        <f aca="false">AND((I42)&gt;=MIN(Y42),(I42)&lt;=MAX(Z42))</f>
        <v>1</v>
      </c>
      <c r="AB42" s="86" t="n">
        <f aca="false">AND((L42)&gt;=MIN(Y42),(L42)&lt;=MAX(Z42))</f>
        <v>1</v>
      </c>
      <c r="AC42" s="86" t="n">
        <f aca="false">AND((O42)&gt;=MIN(Y42),(O42)&lt;=MAX(Z42))</f>
        <v>1</v>
      </c>
      <c r="AD42" s="95" t="s">
        <v>738</v>
      </c>
      <c r="AE42" s="88" t="n">
        <f aca="false">625/1.2</f>
        <v>520.83</v>
      </c>
      <c r="AF42" s="88" t="n">
        <f aca="false">AE42*F42</f>
        <v>2083.32</v>
      </c>
      <c r="AG42" s="95" t="s">
        <v>739</v>
      </c>
      <c r="AH42" s="88" t="n">
        <f aca="false">687/1.2</f>
        <v>572.5</v>
      </c>
      <c r="AI42" s="89" t="n">
        <f aca="false">AH42*F42</f>
        <v>2290</v>
      </c>
      <c r="AJ42" s="95" t="s">
        <v>740</v>
      </c>
      <c r="AK42" s="88" t="n">
        <f aca="false">679/1.2</f>
        <v>565.83</v>
      </c>
      <c r="AL42" s="89" t="n">
        <f aca="false">AK42*F42</f>
        <v>2263.32</v>
      </c>
      <c r="AM42" s="91" t="n">
        <f aca="false">AVERAGE(AE42,AH42,AK42)</f>
        <v>553.05</v>
      </c>
      <c r="AN42" s="91" t="n">
        <f aca="false">((G42-AM42)/AM42)*100</f>
        <v>-2.16</v>
      </c>
      <c r="AO42" s="92" t="n">
        <f aca="false">AM42/1.2</f>
        <v>460.88</v>
      </c>
      <c r="AP42" s="92" t="n">
        <f aca="false">AM42*1.2</f>
        <v>663.66</v>
      </c>
      <c r="AQ42" s="86" t="n">
        <f aca="false">AND((AE42)&gt;=MIN(AO42),(AE42)&lt;=MAX(AP42))</f>
        <v>1</v>
      </c>
      <c r="AR42" s="86" t="n">
        <f aca="false">AND((AH42)&gt;=MIN(AO42),(AH42)&lt;=MAX(AP42))</f>
        <v>1</v>
      </c>
      <c r="AS42" s="86" t="n">
        <f aca="false">AND((AK42)&gt;=MIN(AO42),(AK42)&lt;=MAX(AP42))</f>
        <v>1</v>
      </c>
    </row>
    <row r="43" s="38" customFormat="true" ht="104.25" hidden="false" customHeight="true" outlineLevel="0" collapsed="false">
      <c r="A43" s="28" t="n">
        <v>34</v>
      </c>
      <c r="B43" s="102"/>
      <c r="C43" s="220"/>
      <c r="D43" s="43" t="s">
        <v>151</v>
      </c>
      <c r="E43" s="44" t="s">
        <v>143</v>
      </c>
      <c r="F43" s="45" t="n">
        <v>1</v>
      </c>
      <c r="G43" s="32" t="n">
        <f aca="false">Q43</f>
        <v>652.78</v>
      </c>
      <c r="H43" s="40" t="s">
        <v>152</v>
      </c>
      <c r="I43" s="34" t="n">
        <f aca="false">740/1.2</f>
        <v>616.67</v>
      </c>
      <c r="J43" s="34" t="n">
        <f aca="false">F43*I43</f>
        <v>616.67</v>
      </c>
      <c r="K43" s="42" t="s">
        <v>153</v>
      </c>
      <c r="L43" s="34" t="n">
        <f aca="false">740/1.2</f>
        <v>616.67</v>
      </c>
      <c r="M43" s="34" t="n">
        <f aca="false">F43*L43</f>
        <v>616.67</v>
      </c>
      <c r="N43" s="42" t="s">
        <v>154</v>
      </c>
      <c r="O43" s="34" t="n">
        <f aca="false">870/1.2</f>
        <v>725</v>
      </c>
      <c r="P43" s="34" t="n">
        <f aca="false">F43*O43</f>
        <v>725</v>
      </c>
      <c r="Q43" s="35" t="n">
        <f aca="false">AVERAGE(I43,L43,O43)</f>
        <v>652.78</v>
      </c>
      <c r="R43" s="36" t="n">
        <f aca="false">G43*100/Q43-100</f>
        <v>0</v>
      </c>
      <c r="S43" s="35" t="n">
        <f aca="false">Q43*F43</f>
        <v>652.78</v>
      </c>
      <c r="T43" s="37"/>
      <c r="V43" s="39" t="n">
        <f aca="false">ROUND(I43*100/Q43-100,0)</f>
        <v>-6</v>
      </c>
      <c r="W43" s="39" t="n">
        <f aca="false">ROUND(L43*100/Q43-100,0)</f>
        <v>-6</v>
      </c>
      <c r="X43" s="39" t="n">
        <f aca="false">ROUND(O43*100/Q43-100,0)</f>
        <v>11</v>
      </c>
      <c r="Y43" s="85" t="n">
        <f aca="false">Q43/1.2</f>
        <v>543.98</v>
      </c>
      <c r="Z43" s="85" t="n">
        <f aca="false">Q43*1.2</f>
        <v>783.34</v>
      </c>
      <c r="AA43" s="86" t="n">
        <f aca="false">AND((I43)&gt;=MIN(Y43),(I43)&lt;=MAX(Z43))</f>
        <v>1</v>
      </c>
      <c r="AB43" s="86" t="n">
        <f aca="false">AND((L43)&gt;=MIN(Y43),(L43)&lt;=MAX(Z43))</f>
        <v>1</v>
      </c>
      <c r="AC43" s="86" t="n">
        <f aca="false">AND((O43)&gt;=MIN(Y43),(O43)&lt;=MAX(Z43))</f>
        <v>1</v>
      </c>
      <c r="AD43" s="95" t="s">
        <v>741</v>
      </c>
      <c r="AE43" s="88" t="n">
        <f aca="false">985/1.2</f>
        <v>820.83</v>
      </c>
      <c r="AF43" s="88" t="n">
        <f aca="false">AE43*F43</f>
        <v>820.83</v>
      </c>
      <c r="AG43" s="49" t="s">
        <v>153</v>
      </c>
      <c r="AH43" s="88" t="n">
        <f aca="false">740/1.2</f>
        <v>616.67</v>
      </c>
      <c r="AI43" s="89" t="n">
        <f aca="false">AH43*F43</f>
        <v>616.67</v>
      </c>
      <c r="AJ43" s="95" t="s">
        <v>742</v>
      </c>
      <c r="AK43" s="88" t="n">
        <f aca="false">740/1.2</f>
        <v>616.67</v>
      </c>
      <c r="AL43" s="89" t="n">
        <f aca="false">AK43*F43</f>
        <v>616.67</v>
      </c>
      <c r="AM43" s="91" t="n">
        <f aca="false">AVERAGE(AE43,AH43,AK43)</f>
        <v>684.72</v>
      </c>
      <c r="AN43" s="91" t="n">
        <f aca="false">((G43-AM43)/AM43)*100</f>
        <v>-4.66</v>
      </c>
      <c r="AO43" s="92" t="n">
        <f aca="false">AM43/1.2</f>
        <v>570.6</v>
      </c>
      <c r="AP43" s="92" t="n">
        <f aca="false">AM43*1.2</f>
        <v>821.66</v>
      </c>
      <c r="AQ43" s="86" t="n">
        <f aca="false">AND((AE43)&gt;=MIN(AO43),(AE43)&lt;=MAX(AP43))</f>
        <v>1</v>
      </c>
      <c r="AR43" s="86" t="n">
        <f aca="false">AND((AH43)&gt;=MIN(AO43),(AH43)&lt;=MAX(AP43))</f>
        <v>1</v>
      </c>
      <c r="AS43" s="86" t="n">
        <f aca="false">AND((AK43)&gt;=MIN(AO43),(AK43)&lt;=MAX(AP43))</f>
        <v>1</v>
      </c>
    </row>
    <row r="44" s="38" customFormat="true" ht="104.25" hidden="false" customHeight="true" outlineLevel="0" collapsed="false">
      <c r="A44" s="28" t="n">
        <v>35</v>
      </c>
      <c r="B44" s="104" t="s">
        <v>743</v>
      </c>
      <c r="C44" s="220"/>
      <c r="D44" s="43" t="s">
        <v>155</v>
      </c>
      <c r="E44" s="44" t="s">
        <v>143</v>
      </c>
      <c r="F44" s="45" t="n">
        <v>3</v>
      </c>
      <c r="G44" s="32" t="n">
        <f aca="false">Q44</f>
        <v>38054.44</v>
      </c>
      <c r="H44" s="95" t="s">
        <v>156</v>
      </c>
      <c r="I44" s="34" t="n">
        <f aca="false">45663/1.2</f>
        <v>38052.5</v>
      </c>
      <c r="J44" s="34" t="n">
        <f aca="false">F44*I44</f>
        <v>114157.5</v>
      </c>
      <c r="K44" s="106" t="s">
        <v>157</v>
      </c>
      <c r="L44" s="34" t="n">
        <f aca="false">45670/1.2</f>
        <v>38058.33</v>
      </c>
      <c r="M44" s="34" t="n">
        <f aca="false">F44*L44</f>
        <v>114174.99</v>
      </c>
      <c r="N44" s="106" t="s">
        <v>158</v>
      </c>
      <c r="O44" s="34" t="n">
        <f aca="false">45663/1.2</f>
        <v>38052.5</v>
      </c>
      <c r="P44" s="34" t="n">
        <f aca="false">F44*O44</f>
        <v>114157.5</v>
      </c>
      <c r="Q44" s="35" t="n">
        <f aca="false">AVERAGE(I44,L44,O44)</f>
        <v>38054.44</v>
      </c>
      <c r="R44" s="36" t="n">
        <f aca="false">G44*100/Q44-100</f>
        <v>0</v>
      </c>
      <c r="S44" s="35" t="n">
        <f aca="false">Q44*F44</f>
        <v>114163.32</v>
      </c>
      <c r="T44" s="37"/>
      <c r="V44" s="39" t="n">
        <f aca="false">ROUND(I44*100/Q44-100,0)</f>
        <v>-0</v>
      </c>
      <c r="W44" s="39" t="n">
        <f aca="false">ROUND(L44*100/Q44-100,0)</f>
        <v>0</v>
      </c>
      <c r="X44" s="39" t="n">
        <f aca="false">ROUND(O44*100/Q44-100,0)</f>
        <v>-0</v>
      </c>
      <c r="Y44" s="85" t="n">
        <f aca="false">Q44/1.2</f>
        <v>31712.03</v>
      </c>
      <c r="Z44" s="85" t="n">
        <f aca="false">Q44*1.2</f>
        <v>45665.33</v>
      </c>
      <c r="AA44" s="86" t="n">
        <f aca="false">AND((I44)&gt;=MIN(Y44),(I44)&lt;=MAX(Z44))</f>
        <v>1</v>
      </c>
      <c r="AB44" s="86" t="n">
        <f aca="false">AND((L44)&gt;=MIN(Y44),(L44)&lt;=MAX(Z44))</f>
        <v>1</v>
      </c>
      <c r="AC44" s="86" t="n">
        <f aca="false">AND((O44)&gt;=MIN(Y44),(O44)&lt;=MAX(Z44))</f>
        <v>1</v>
      </c>
      <c r="AD44" s="95"/>
      <c r="AE44" s="88"/>
      <c r="AF44" s="88" t="n">
        <f aca="false">AE44*F44</f>
        <v>0</v>
      </c>
      <c r="AG44" s="95"/>
      <c r="AH44" s="88"/>
      <c r="AI44" s="89" t="n">
        <f aca="false">AH44*F44</f>
        <v>0</v>
      </c>
      <c r="AJ44" s="95"/>
      <c r="AK44" s="88"/>
      <c r="AL44" s="89" t="n">
        <f aca="false">AK44*F44</f>
        <v>0</v>
      </c>
      <c r="AM44" s="91" t="e">
        <f aca="false">AVERAGE(AE44,AH44,AK44)</f>
        <v>#DIV/0!</v>
      </c>
      <c r="AN44" s="91" t="e">
        <f aca="false">((G44-AM44)/AM44)*100</f>
        <v>#DIV/0!</v>
      </c>
      <c r="AO44" s="92" t="e">
        <f aca="false">AM44/1.2</f>
        <v>#DIV/0!</v>
      </c>
      <c r="AP44" s="92" t="e">
        <f aca="false">AM44*1.2</f>
        <v>#DIV/0!</v>
      </c>
      <c r="AQ44" s="86" t="e">
        <f aca="false">AND((AE44)&gt;=MIN(AO44),(AE44)&lt;=MAX(AP44))</f>
        <v>#DIV/0!</v>
      </c>
      <c r="AR44" s="86" t="e">
        <f aca="false">AND((AH44)&gt;=MIN(AO44),(AH44)&lt;=MAX(AP44))</f>
        <v>#DIV/0!</v>
      </c>
      <c r="AS44" s="86" t="e">
        <f aca="false">AND((AK44)&gt;=MIN(AO44),(AK44)&lt;=MAX(AP44))</f>
        <v>#DIV/0!</v>
      </c>
    </row>
    <row r="45" s="38" customFormat="true" ht="104.25" hidden="false" customHeight="true" outlineLevel="0" collapsed="false">
      <c r="A45" s="28" t="n">
        <v>36</v>
      </c>
      <c r="B45" s="102"/>
      <c r="C45" s="220"/>
      <c r="D45" s="43" t="s">
        <v>159</v>
      </c>
      <c r="E45" s="44" t="s">
        <v>64</v>
      </c>
      <c r="F45" s="45" t="n">
        <v>131.5</v>
      </c>
      <c r="G45" s="32" t="n">
        <f aca="false">Q45</f>
        <v>194.14</v>
      </c>
      <c r="H45" s="46" t="s">
        <v>160</v>
      </c>
      <c r="I45" s="34" t="n">
        <f aca="false">1005/4.5/1.2</f>
        <v>186.11</v>
      </c>
      <c r="J45" s="34" t="n">
        <f aca="false">F45*I45</f>
        <v>24473.47</v>
      </c>
      <c r="K45" s="46" t="s">
        <v>161</v>
      </c>
      <c r="L45" s="34" t="n">
        <f aca="false">995/4.5/1.2</f>
        <v>184.26</v>
      </c>
      <c r="M45" s="34" t="n">
        <f aca="false">F45*L45</f>
        <v>24230.19</v>
      </c>
      <c r="N45" s="46" t="s">
        <v>162</v>
      </c>
      <c r="O45" s="34" t="n">
        <f aca="false">229/0.9/1.2</f>
        <v>212.04</v>
      </c>
      <c r="P45" s="34" t="n">
        <f aca="false">F45*O45</f>
        <v>27883.26</v>
      </c>
      <c r="Q45" s="35" t="n">
        <f aca="false">AVERAGE(I45,L45,O45)</f>
        <v>194.14</v>
      </c>
      <c r="R45" s="36" t="n">
        <f aca="false">G45*100/Q45-100</f>
        <v>0</v>
      </c>
      <c r="S45" s="35" t="n">
        <f aca="false">Q45*F45</f>
        <v>25529.41</v>
      </c>
      <c r="T45" s="37"/>
      <c r="V45" s="39" t="n">
        <f aca="false">ROUND(I45*100/Q45-100,0)</f>
        <v>-4</v>
      </c>
      <c r="W45" s="39" t="n">
        <f aca="false">ROUND(L45*100/Q45-100,0)</f>
        <v>-5</v>
      </c>
      <c r="X45" s="39" t="n">
        <f aca="false">ROUND(O45*100/Q45-100,0)</f>
        <v>9</v>
      </c>
      <c r="Y45" s="85" t="n">
        <f aca="false">Q45/1.2</f>
        <v>161.78</v>
      </c>
      <c r="Z45" s="85" t="n">
        <f aca="false">Q45*1.2</f>
        <v>232.97</v>
      </c>
      <c r="AA45" s="86" t="n">
        <f aca="false">AND((I45)&gt;=MIN(Y45),(I45)&lt;=MAX(Z45))</f>
        <v>1</v>
      </c>
      <c r="AB45" s="86" t="n">
        <f aca="false">AND((L45)&gt;=MIN(Y45),(L45)&lt;=MAX(Z45))</f>
        <v>1</v>
      </c>
      <c r="AC45" s="86" t="n">
        <f aca="false">AND((O45)&gt;=MIN(Y45),(O45)&lt;=MAX(Z45))</f>
        <v>1</v>
      </c>
      <c r="AD45" s="87" t="s">
        <v>744</v>
      </c>
      <c r="AE45" s="88" t="n">
        <f aca="false">1840/1.2/10</f>
        <v>153.33</v>
      </c>
      <c r="AF45" s="88" t="n">
        <f aca="false">AE45*F45</f>
        <v>20162.9</v>
      </c>
      <c r="AG45" s="95" t="s">
        <v>745</v>
      </c>
      <c r="AH45" s="88" t="n">
        <f aca="false">1603/1.2/10</f>
        <v>133.58</v>
      </c>
      <c r="AI45" s="89" t="n">
        <f aca="false">AH45*F45</f>
        <v>17565.77</v>
      </c>
      <c r="AJ45" s="95" t="s">
        <v>746</v>
      </c>
      <c r="AK45" s="88" t="n">
        <f aca="false">1590/1.2/10</f>
        <v>132.5</v>
      </c>
      <c r="AL45" s="89" t="n">
        <f aca="false">AK45*F45</f>
        <v>17423.75</v>
      </c>
      <c r="AM45" s="91" t="n">
        <f aca="false">AVERAGE(AE45,AH45,AK45)</f>
        <v>139.8</v>
      </c>
      <c r="AN45" s="91" t="n">
        <f aca="false">((G45-AM45)/AM45)*100</f>
        <v>38.87</v>
      </c>
      <c r="AO45" s="92" t="n">
        <f aca="false">AM45/1.2</f>
        <v>116.5</v>
      </c>
      <c r="AP45" s="92" t="n">
        <f aca="false">AM45*1.2</f>
        <v>167.76</v>
      </c>
      <c r="AQ45" s="86" t="n">
        <f aca="false">AND((AE45)&gt;=MIN(AO45),(AE45)&lt;=MAX(AP45))</f>
        <v>1</v>
      </c>
      <c r="AR45" s="86" t="n">
        <f aca="false">AND((AH45)&gt;=MIN(AO45),(AH45)&lt;=MAX(AP45))</f>
        <v>1</v>
      </c>
      <c r="AS45" s="86" t="n">
        <f aca="false">AND((AK45)&gt;=MIN(AO45),(AK45)&lt;=MAX(AP45))</f>
        <v>1</v>
      </c>
    </row>
    <row r="46" s="38" customFormat="true" ht="104.25" hidden="false" customHeight="true" outlineLevel="0" collapsed="false">
      <c r="A46" s="221" t="n">
        <v>38</v>
      </c>
      <c r="B46" s="104" t="s">
        <v>748</v>
      </c>
      <c r="C46" s="215"/>
      <c r="D46" s="43" t="s">
        <v>164</v>
      </c>
      <c r="E46" s="44" t="s">
        <v>143</v>
      </c>
      <c r="F46" s="45" t="n">
        <v>1</v>
      </c>
      <c r="G46" s="32" t="n">
        <f aca="false">Q46</f>
        <v>919.44</v>
      </c>
      <c r="H46" s="42" t="s">
        <v>165</v>
      </c>
      <c r="I46" s="34" t="n">
        <f aca="false">1155/1.2</f>
        <v>962.5</v>
      </c>
      <c r="J46" s="34" t="n">
        <f aca="false">F46*I46</f>
        <v>962.5</v>
      </c>
      <c r="K46" s="42" t="s">
        <v>166</v>
      </c>
      <c r="L46" s="34" t="n">
        <f aca="false">1116/1.2</f>
        <v>930</v>
      </c>
      <c r="M46" s="34" t="n">
        <f aca="false">F46*L46</f>
        <v>930</v>
      </c>
      <c r="N46" s="42" t="s">
        <v>167</v>
      </c>
      <c r="O46" s="34" t="n">
        <f aca="false">1039/1.2</f>
        <v>865.83</v>
      </c>
      <c r="P46" s="34" t="n">
        <f aca="false">F46*O46</f>
        <v>865.83</v>
      </c>
      <c r="Q46" s="35" t="n">
        <f aca="false">AVERAGE(I46,L46,O46)</f>
        <v>919.44</v>
      </c>
      <c r="R46" s="36" t="n">
        <f aca="false">G46*100/Q46-100</f>
        <v>0</v>
      </c>
      <c r="S46" s="35" t="n">
        <f aca="false">Q46*F46</f>
        <v>919.44</v>
      </c>
      <c r="T46" s="37"/>
      <c r="V46" s="39" t="n">
        <f aca="false">ROUND(I46*100/Q46-100,0)</f>
        <v>5</v>
      </c>
      <c r="W46" s="39" t="n">
        <f aca="false">ROUND(L46*100/Q46-100,0)</f>
        <v>1</v>
      </c>
      <c r="X46" s="39" t="n">
        <f aca="false">ROUND(O46*100/Q46-100,0)</f>
        <v>-6</v>
      </c>
      <c r="Y46" s="85" t="n">
        <f aca="false">Q46/1.2</f>
        <v>766.2</v>
      </c>
      <c r="Z46" s="85" t="n">
        <f aca="false">Q46*1.2</f>
        <v>1103.33</v>
      </c>
      <c r="AA46" s="86" t="n">
        <f aca="false">AND((I46)&gt;=MIN(Y46),(I46)&lt;=MAX(Z46))</f>
        <v>1</v>
      </c>
      <c r="AB46" s="86" t="n">
        <f aca="false">AND((L46)&gt;=MIN(Y46),(L46)&lt;=MAX(Z46))</f>
        <v>1</v>
      </c>
      <c r="AC46" s="86" t="n">
        <f aca="false">AND((O46)&gt;=MIN(Y46),(O46)&lt;=MAX(Z46))</f>
        <v>1</v>
      </c>
      <c r="AD46" s="95" t="s">
        <v>749</v>
      </c>
      <c r="AE46" s="88" t="n">
        <f aca="false">1106.3/1.2</f>
        <v>921.92</v>
      </c>
      <c r="AF46" s="88" t="n">
        <f aca="false">AE46*F46</f>
        <v>921.92</v>
      </c>
      <c r="AG46" s="95" t="s">
        <v>750</v>
      </c>
      <c r="AH46" s="88" t="n">
        <f aca="false">1156/1.2</f>
        <v>963.33</v>
      </c>
      <c r="AI46" s="89" t="n">
        <f aca="false">AH46*F46</f>
        <v>963.33</v>
      </c>
      <c r="AJ46" s="95" t="s">
        <v>751</v>
      </c>
      <c r="AK46" s="88" t="n">
        <f aca="false">1223/1.2</f>
        <v>1019.17</v>
      </c>
      <c r="AL46" s="89" t="n">
        <f aca="false">AK46*F46</f>
        <v>1019.17</v>
      </c>
      <c r="AM46" s="91" t="n">
        <f aca="false">AVERAGE(AE46,AH46,AK46)</f>
        <v>968.14</v>
      </c>
      <c r="AN46" s="91" t="n">
        <f aca="false">((G46-AM46)/AM46)*100</f>
        <v>-5.03</v>
      </c>
      <c r="AO46" s="92" t="n">
        <f aca="false">AM46/1.2</f>
        <v>806.78</v>
      </c>
      <c r="AP46" s="92" t="n">
        <f aca="false">AM46*1.2</f>
        <v>1161.77</v>
      </c>
      <c r="AQ46" s="86" t="n">
        <f aca="false">AND((AE46)&gt;=MIN(AO46),(AE46)&lt;=MAX(AP46))</f>
        <v>1</v>
      </c>
      <c r="AR46" s="86" t="n">
        <f aca="false">AND((AH46)&gt;=MIN(AO46),(AH46)&lt;=MAX(AP46))</f>
        <v>1</v>
      </c>
      <c r="AS46" s="86" t="n">
        <f aca="false">AND((AK46)&gt;=MIN(AO46),(AK46)&lt;=MAX(AP46))</f>
        <v>1</v>
      </c>
    </row>
    <row r="47" s="38" customFormat="true" ht="104.25" hidden="false" customHeight="true" outlineLevel="0" collapsed="false">
      <c r="A47" s="221" t="n">
        <v>39</v>
      </c>
      <c r="B47" s="104" t="s">
        <v>752</v>
      </c>
      <c r="C47" s="215"/>
      <c r="D47" s="43" t="s">
        <v>753</v>
      </c>
      <c r="E47" s="44" t="s">
        <v>143</v>
      </c>
      <c r="F47" s="45" t="n">
        <v>2</v>
      </c>
      <c r="G47" s="32" t="n">
        <f aca="false">Q47</f>
        <v>1079.17</v>
      </c>
      <c r="H47" s="42" t="s">
        <v>169</v>
      </c>
      <c r="I47" s="34" t="n">
        <f aca="false">1500/1.2</f>
        <v>1250</v>
      </c>
      <c r="J47" s="34" t="n">
        <f aca="false">F47*I47</f>
        <v>2500</v>
      </c>
      <c r="K47" s="42" t="s">
        <v>170</v>
      </c>
      <c r="L47" s="34" t="n">
        <f aca="false">1320/1.2</f>
        <v>1100</v>
      </c>
      <c r="M47" s="34" t="n">
        <f aca="false">F47*L47</f>
        <v>2200</v>
      </c>
      <c r="N47" s="42" t="s">
        <v>171</v>
      </c>
      <c r="O47" s="34" t="n">
        <f aca="false">1065/1.2</f>
        <v>887.5</v>
      </c>
      <c r="P47" s="34" t="n">
        <f aca="false">F47*O47</f>
        <v>1775</v>
      </c>
      <c r="Q47" s="35" t="n">
        <f aca="false">AVERAGE(I47,L47,O47)</f>
        <v>1079.17</v>
      </c>
      <c r="R47" s="36" t="n">
        <f aca="false">G47*100/Q47-100</f>
        <v>0</v>
      </c>
      <c r="S47" s="35" t="n">
        <f aca="false">Q47*F47</f>
        <v>2158.34</v>
      </c>
      <c r="T47" s="37"/>
      <c r="V47" s="39" t="n">
        <f aca="false">ROUND(I47*100/Q47-100,0)</f>
        <v>16</v>
      </c>
      <c r="W47" s="39" t="n">
        <f aca="false">ROUND(L47*100/Q47-100,0)</f>
        <v>2</v>
      </c>
      <c r="X47" s="39" t="n">
        <f aca="false">ROUND(O47*100/Q47-100,0)</f>
        <v>-18</v>
      </c>
      <c r="Y47" s="85" t="n">
        <f aca="false">Q47/1.2</f>
        <v>899.31</v>
      </c>
      <c r="Z47" s="85" t="n">
        <f aca="false">Q47*1.2</f>
        <v>1295</v>
      </c>
      <c r="AA47" s="86" t="n">
        <f aca="false">AND((I47)&gt;=MIN(Y47),(I47)&lt;=MAX(Z47))</f>
        <v>1</v>
      </c>
      <c r="AB47" s="86" t="n">
        <f aca="false">AND((L47)&gt;=MIN(Y47),(L47)&lt;=MAX(Z47))</f>
        <v>1</v>
      </c>
      <c r="AC47" s="101" t="n">
        <f aca="false">AND((O47)&gt;=MIN(Y47),(O47)&lt;=MAX(Z47))</f>
        <v>0</v>
      </c>
      <c r="AD47" s="95" t="s">
        <v>754</v>
      </c>
      <c r="AE47" s="88" t="n">
        <f aca="false">900/1.2</f>
        <v>750</v>
      </c>
      <c r="AF47" s="88" t="n">
        <f aca="false">AE47*F47</f>
        <v>1500</v>
      </c>
      <c r="AG47" s="95" t="s">
        <v>755</v>
      </c>
      <c r="AH47" s="88" t="n">
        <f aca="false">811/1.2</f>
        <v>675.83</v>
      </c>
      <c r="AI47" s="89" t="n">
        <f aca="false">AH47*F47</f>
        <v>1351.66</v>
      </c>
      <c r="AJ47" s="95" t="s">
        <v>756</v>
      </c>
      <c r="AK47" s="88" t="n">
        <f aca="false">982.5/1.2</f>
        <v>818.75</v>
      </c>
      <c r="AL47" s="89" t="n">
        <f aca="false">AK47*F47</f>
        <v>1637.5</v>
      </c>
      <c r="AM47" s="91" t="n">
        <f aca="false">AVERAGE(AE47,AH47,AK47)</f>
        <v>748.19</v>
      </c>
      <c r="AN47" s="91" t="n">
        <f aca="false">((G47-AM47)/AM47)*100</f>
        <v>44.24</v>
      </c>
      <c r="AO47" s="92" t="n">
        <f aca="false">AM47/1.2</f>
        <v>623.49</v>
      </c>
      <c r="AP47" s="92" t="n">
        <f aca="false">AM47*1.2</f>
        <v>897.83</v>
      </c>
      <c r="AQ47" s="86" t="n">
        <f aca="false">AND((AE47)&gt;=MIN(AO47),(AE47)&lt;=MAX(AP47))</f>
        <v>1</v>
      </c>
      <c r="AR47" s="86" t="n">
        <f aca="false">AND((AH47)&gt;=MIN(AO47),(AH47)&lt;=MAX(AP47))</f>
        <v>1</v>
      </c>
      <c r="AS47" s="86" t="n">
        <f aca="false">AND((AK47)&gt;=MIN(AO47),(AK47)&lt;=MAX(AP47))</f>
        <v>1</v>
      </c>
    </row>
    <row r="48" s="38" customFormat="true" ht="104.25" hidden="false" customHeight="true" outlineLevel="0" collapsed="false">
      <c r="A48" s="221" t="n">
        <v>41</v>
      </c>
      <c r="B48" s="102"/>
      <c r="C48" s="220"/>
      <c r="D48" s="43" t="s">
        <v>760</v>
      </c>
      <c r="E48" s="44" t="s">
        <v>143</v>
      </c>
      <c r="F48" s="45" t="n">
        <v>1</v>
      </c>
      <c r="G48" s="32" t="n">
        <f aca="false">Q48</f>
        <v>487.78</v>
      </c>
      <c r="H48" s="42" t="s">
        <v>174</v>
      </c>
      <c r="I48" s="34" t="n">
        <f aca="false">540/1.2</f>
        <v>450</v>
      </c>
      <c r="J48" s="34" t="n">
        <f aca="false">F48*I48</f>
        <v>450</v>
      </c>
      <c r="K48" s="42" t="s">
        <v>175</v>
      </c>
      <c r="L48" s="34" t="n">
        <f aca="false">596/1.2</f>
        <v>496.67</v>
      </c>
      <c r="M48" s="34" t="n">
        <f aca="false">F48*L48</f>
        <v>496.67</v>
      </c>
      <c r="N48" s="42" t="s">
        <v>176</v>
      </c>
      <c r="O48" s="34" t="n">
        <f aca="false">620/1.2</f>
        <v>516.67</v>
      </c>
      <c r="P48" s="34" t="n">
        <f aca="false">F48*O48</f>
        <v>516.67</v>
      </c>
      <c r="Q48" s="35" t="n">
        <f aca="false">AVERAGE(I48,L48,O48)</f>
        <v>487.78</v>
      </c>
      <c r="R48" s="36" t="n">
        <f aca="false">G48*100/Q48-100</f>
        <v>0</v>
      </c>
      <c r="S48" s="35" t="n">
        <f aca="false">Q48*F48</f>
        <v>487.78</v>
      </c>
      <c r="T48" s="37"/>
      <c r="V48" s="39" t="n">
        <f aca="false">ROUND(I48*100/Q48-100,0)</f>
        <v>-8</v>
      </c>
      <c r="W48" s="39" t="n">
        <f aca="false">ROUND(L48*100/Q48-100,0)</f>
        <v>2</v>
      </c>
      <c r="X48" s="39" t="n">
        <f aca="false">ROUND(O48*100/Q48-100,0)</f>
        <v>6</v>
      </c>
      <c r="Y48" s="85" t="n">
        <f aca="false">Q48/1.2</f>
        <v>406.48</v>
      </c>
      <c r="Z48" s="85" t="n">
        <f aca="false">Q48*1.2</f>
        <v>585.34</v>
      </c>
      <c r="AA48" s="86" t="n">
        <f aca="false">AND((I48)&gt;=MIN(Y48),(I48)&lt;=MAX(Z48))</f>
        <v>1</v>
      </c>
      <c r="AB48" s="86" t="n">
        <f aca="false">AND((L48)&gt;=MIN(Y48),(L48)&lt;=MAX(Z48))</f>
        <v>1</v>
      </c>
      <c r="AC48" s="86" t="n">
        <f aca="false">AND((O48)&gt;=MIN(Y48),(O48)&lt;=MAX(Z48))</f>
        <v>1</v>
      </c>
      <c r="AD48" s="95" t="s">
        <v>761</v>
      </c>
      <c r="AE48" s="88" t="n">
        <f aca="false">972/1.2</f>
        <v>810</v>
      </c>
      <c r="AF48" s="88" t="n">
        <f aca="false">AE48*F48</f>
        <v>810</v>
      </c>
      <c r="AG48" s="95" t="s">
        <v>762</v>
      </c>
      <c r="AH48" s="88" t="n">
        <f aca="false">765/1.2</f>
        <v>637.5</v>
      </c>
      <c r="AI48" s="89" t="n">
        <f aca="false">AH48*F48</f>
        <v>637.5</v>
      </c>
      <c r="AJ48" s="95" t="s">
        <v>763</v>
      </c>
      <c r="AK48" s="88" t="n">
        <f aca="false">808/1.2</f>
        <v>673.33</v>
      </c>
      <c r="AL48" s="89" t="n">
        <f aca="false">AK48*F48</f>
        <v>673.33</v>
      </c>
      <c r="AM48" s="91" t="n">
        <f aca="false">AVERAGE(AE48,AH48,AK48)</f>
        <v>706.94</v>
      </c>
      <c r="AN48" s="91" t="n">
        <f aca="false">((G48-AM48)/AM48)*100</f>
        <v>-31</v>
      </c>
      <c r="AO48" s="92" t="n">
        <f aca="false">AM48/1.2</f>
        <v>589.12</v>
      </c>
      <c r="AP48" s="92" t="n">
        <f aca="false">AM48*1.2</f>
        <v>848.33</v>
      </c>
      <c r="AQ48" s="86" t="n">
        <f aca="false">AND((AE48)&gt;=MIN(AO48),(AE48)&lt;=MAX(AP48))</f>
        <v>1</v>
      </c>
      <c r="AR48" s="86" t="n">
        <f aca="false">AND((AH48)&gt;=MIN(AO48),(AH48)&lt;=MAX(AP48))</f>
        <v>1</v>
      </c>
      <c r="AS48" s="86" t="n">
        <f aca="false">AND((AK48)&gt;=MIN(AO48),(AK48)&lt;=MAX(AP48))</f>
        <v>1</v>
      </c>
    </row>
    <row r="49" s="38" customFormat="true" ht="104.25" hidden="false" customHeight="true" outlineLevel="0" collapsed="false">
      <c r="A49" s="221" t="n">
        <v>42</v>
      </c>
      <c r="B49" s="104" t="s">
        <v>1149</v>
      </c>
      <c r="C49" s="215"/>
      <c r="D49" s="43" t="s">
        <v>765</v>
      </c>
      <c r="E49" s="44" t="s">
        <v>143</v>
      </c>
      <c r="F49" s="45" t="n">
        <v>1</v>
      </c>
      <c r="G49" s="32" t="n">
        <f aca="false">Q49</f>
        <v>473.56</v>
      </c>
      <c r="H49" s="42" t="s">
        <v>178</v>
      </c>
      <c r="I49" s="34" t="n">
        <f aca="false">568.8/1.2</f>
        <v>474</v>
      </c>
      <c r="J49" s="34" t="n">
        <f aca="false">F49*I49</f>
        <v>474</v>
      </c>
      <c r="K49" s="42" t="s">
        <v>174</v>
      </c>
      <c r="L49" s="34" t="n">
        <f aca="false">540/1.2</f>
        <v>450</v>
      </c>
      <c r="M49" s="34" t="n">
        <f aca="false">F49*L49</f>
        <v>450</v>
      </c>
      <c r="N49" s="42" t="s">
        <v>179</v>
      </c>
      <c r="O49" s="34" t="n">
        <f aca="false">596/1.2</f>
        <v>496.67</v>
      </c>
      <c r="P49" s="34" t="n">
        <f aca="false">F49*O49</f>
        <v>496.67</v>
      </c>
      <c r="Q49" s="35" t="n">
        <f aca="false">AVERAGE(I49,L49,O49)</f>
        <v>473.56</v>
      </c>
      <c r="R49" s="36" t="n">
        <f aca="false">G49*100/Q49-100</f>
        <v>0</v>
      </c>
      <c r="S49" s="35" t="n">
        <f aca="false">Q49*F49</f>
        <v>473.56</v>
      </c>
      <c r="T49" s="37"/>
      <c r="V49" s="39" t="n">
        <f aca="false">ROUND(I49*100/Q49-100,0)</f>
        <v>0</v>
      </c>
      <c r="W49" s="39" t="n">
        <f aca="false">ROUND(L49*100/Q49-100,0)</f>
        <v>-5</v>
      </c>
      <c r="X49" s="39" t="n">
        <f aca="false">ROUND(O49*100/Q49-100,0)</f>
        <v>5</v>
      </c>
      <c r="Y49" s="85" t="n">
        <f aca="false">Q49/1.2</f>
        <v>394.63</v>
      </c>
      <c r="Z49" s="85" t="n">
        <f aca="false">Q49*1.2</f>
        <v>568.27</v>
      </c>
      <c r="AA49" s="86" t="n">
        <f aca="false">AND((I49)&gt;=MIN(Y49),(I49)&lt;=MAX(Z49))</f>
        <v>1</v>
      </c>
      <c r="AB49" s="86" t="n">
        <f aca="false">AND((L49)&gt;=MIN(Y49),(L49)&lt;=MAX(Z49))</f>
        <v>1</v>
      </c>
      <c r="AC49" s="86" t="n">
        <f aca="false">AND((O49)&gt;=MIN(Y49),(O49)&lt;=MAX(Z49))</f>
        <v>1</v>
      </c>
      <c r="AD49" s="95" t="s">
        <v>766</v>
      </c>
      <c r="AE49" s="88" t="n">
        <f aca="false">495.52/1.2</f>
        <v>412.93</v>
      </c>
      <c r="AF49" s="88" t="n">
        <f aca="false">AE49*F49</f>
        <v>412.93</v>
      </c>
      <c r="AG49" s="95" t="s">
        <v>767</v>
      </c>
      <c r="AH49" s="88" t="n">
        <f aca="false">620/1.2</f>
        <v>516.67</v>
      </c>
      <c r="AI49" s="89" t="n">
        <f aca="false">AH49*F49</f>
        <v>516.67</v>
      </c>
      <c r="AJ49" s="95" t="s">
        <v>768</v>
      </c>
      <c r="AK49" s="88" t="n">
        <f aca="false">596/1.2</f>
        <v>496.67</v>
      </c>
      <c r="AL49" s="89" t="n">
        <f aca="false">AK49*F49</f>
        <v>496.67</v>
      </c>
      <c r="AM49" s="91" t="n">
        <f aca="false">AVERAGE(AE49,AH49,AK49)</f>
        <v>475.42</v>
      </c>
      <c r="AN49" s="91" t="n">
        <f aca="false">((G49-AM49)/AM49)*100</f>
        <v>-0.39</v>
      </c>
      <c r="AO49" s="92" t="n">
        <f aca="false">AM49/1.2</f>
        <v>396.18</v>
      </c>
      <c r="AP49" s="92" t="n">
        <f aca="false">AM49*1.2</f>
        <v>570.5</v>
      </c>
      <c r="AQ49" s="86" t="n">
        <f aca="false">AND((AE49)&gt;=MIN(AO49),(AE49)&lt;=MAX(AP49))</f>
        <v>1</v>
      </c>
      <c r="AR49" s="86" t="n">
        <f aca="false">AND((AH49)&gt;=MIN(AO49),(AH49)&lt;=MAX(AP49))</f>
        <v>1</v>
      </c>
      <c r="AS49" s="86" t="n">
        <f aca="false">AND((AK49)&gt;=MIN(AO49),(AK49)&lt;=MAX(AP49))</f>
        <v>1</v>
      </c>
    </row>
    <row r="50" s="38" customFormat="true" ht="104.25" hidden="false" customHeight="true" outlineLevel="0" collapsed="false">
      <c r="A50" s="221" t="n">
        <v>43</v>
      </c>
      <c r="B50" s="104" t="s">
        <v>769</v>
      </c>
      <c r="C50" s="215"/>
      <c r="D50" s="43" t="s">
        <v>770</v>
      </c>
      <c r="E50" s="44" t="s">
        <v>143</v>
      </c>
      <c r="F50" s="45" t="n">
        <v>5</v>
      </c>
      <c r="G50" s="32" t="n">
        <f aca="false">Q50</f>
        <v>487.78</v>
      </c>
      <c r="H50" s="42" t="s">
        <v>181</v>
      </c>
      <c r="I50" s="34" t="n">
        <f aca="false">620/1.2</f>
        <v>516.67</v>
      </c>
      <c r="J50" s="34" t="n">
        <f aca="false">F50*I50</f>
        <v>2583.35</v>
      </c>
      <c r="K50" s="42" t="s">
        <v>182</v>
      </c>
      <c r="L50" s="34" t="n">
        <f aca="false">596/1.2</f>
        <v>496.67</v>
      </c>
      <c r="M50" s="34" t="n">
        <f aca="false">F50*L50</f>
        <v>2483.35</v>
      </c>
      <c r="N50" s="42" t="s">
        <v>174</v>
      </c>
      <c r="O50" s="34" t="n">
        <f aca="false">540/1.2</f>
        <v>450</v>
      </c>
      <c r="P50" s="34" t="n">
        <f aca="false">F50*O50</f>
        <v>2250</v>
      </c>
      <c r="Q50" s="35" t="n">
        <f aca="false">AVERAGE(I50,L50,O50)</f>
        <v>487.78</v>
      </c>
      <c r="R50" s="36" t="n">
        <f aca="false">G50*100/Q50-100</f>
        <v>0</v>
      </c>
      <c r="S50" s="35" t="n">
        <f aca="false">Q50*F50</f>
        <v>2438.9</v>
      </c>
      <c r="T50" s="37"/>
      <c r="V50" s="39" t="n">
        <f aca="false">ROUND(I50*100/Q50-100,0)</f>
        <v>6</v>
      </c>
      <c r="W50" s="39" t="n">
        <f aca="false">ROUND(L50*100/Q50-100,0)</f>
        <v>2</v>
      </c>
      <c r="X50" s="39" t="n">
        <f aca="false">ROUND(O50*100/Q50-100,0)</f>
        <v>-8</v>
      </c>
      <c r="Y50" s="85" t="n">
        <f aca="false">Q50/1.2</f>
        <v>406.48</v>
      </c>
      <c r="Z50" s="85" t="n">
        <f aca="false">Q50*1.2</f>
        <v>585.34</v>
      </c>
      <c r="AA50" s="86" t="n">
        <f aca="false">AND((I50)&gt;=MIN(Y50),(I50)&lt;=MAX(Z50))</f>
        <v>1</v>
      </c>
      <c r="AB50" s="86" t="n">
        <f aca="false">AND((L50)&gt;=MIN(Y50),(L50)&lt;=MAX(Z50))</f>
        <v>1</v>
      </c>
      <c r="AC50" s="86" t="n">
        <f aca="false">AND((O50)&gt;=MIN(Y50),(O50)&lt;=MAX(Z50))</f>
        <v>1</v>
      </c>
      <c r="AD50" s="95" t="s">
        <v>771</v>
      </c>
      <c r="AE50" s="88" t="n">
        <f aca="false">620/1.2</f>
        <v>516.67</v>
      </c>
      <c r="AF50" s="88" t="n">
        <f aca="false">AE50*F50</f>
        <v>2583.35</v>
      </c>
      <c r="AG50" s="95" t="s">
        <v>772</v>
      </c>
      <c r="AH50" s="88" t="n">
        <f aca="false">596/1.2</f>
        <v>496.67</v>
      </c>
      <c r="AI50" s="89" t="n">
        <f aca="false">AH50*F50</f>
        <v>2483.35</v>
      </c>
      <c r="AJ50" s="95" t="s">
        <v>771</v>
      </c>
      <c r="AK50" s="88" t="n">
        <f aca="false">620/1.2</f>
        <v>516.67</v>
      </c>
      <c r="AL50" s="89" t="n">
        <f aca="false">AK50*F50</f>
        <v>2583.35</v>
      </c>
      <c r="AM50" s="91" t="n">
        <f aca="false">AVERAGE(AE50,AH50,AK50)</f>
        <v>510</v>
      </c>
      <c r="AN50" s="91" t="n">
        <f aca="false">((G50-AM50)/AM50)*100</f>
        <v>-4.36</v>
      </c>
      <c r="AO50" s="92" t="n">
        <f aca="false">AM50/1.2</f>
        <v>425</v>
      </c>
      <c r="AP50" s="92" t="n">
        <f aca="false">AM50*1.2</f>
        <v>612</v>
      </c>
      <c r="AQ50" s="86" t="n">
        <f aca="false">AND((AE50)&gt;=MIN(AO50),(AE50)&lt;=MAX(AP50))</f>
        <v>1</v>
      </c>
      <c r="AR50" s="86" t="n">
        <f aca="false">AND((AH50)&gt;=MIN(AO50),(AH50)&lt;=MAX(AP50))</f>
        <v>1</v>
      </c>
      <c r="AS50" s="86" t="n">
        <f aca="false">AND((AK50)&gt;=MIN(AO50),(AK50)&lt;=MAX(AP50))</f>
        <v>1</v>
      </c>
    </row>
    <row r="51" s="38" customFormat="true" ht="104.25" hidden="false" customHeight="true" outlineLevel="0" collapsed="false">
      <c r="A51" s="221" t="n">
        <v>44</v>
      </c>
      <c r="B51" s="104" t="s">
        <v>773</v>
      </c>
      <c r="C51" s="215"/>
      <c r="D51" s="43" t="s">
        <v>183</v>
      </c>
      <c r="E51" s="44" t="s">
        <v>143</v>
      </c>
      <c r="F51" s="45" t="n">
        <v>4</v>
      </c>
      <c r="G51" s="32" t="n">
        <f aca="false">Q51</f>
        <v>933.63</v>
      </c>
      <c r="H51" s="42" t="s">
        <v>184</v>
      </c>
      <c r="I51" s="34" t="n">
        <f aca="false">1176/1.2</f>
        <v>980</v>
      </c>
      <c r="J51" s="34" t="n">
        <f aca="false">F51*I51</f>
        <v>3920</v>
      </c>
      <c r="K51" s="42" t="s">
        <v>185</v>
      </c>
      <c r="L51" s="34" t="n">
        <f aca="false">1176/1.2</f>
        <v>980</v>
      </c>
      <c r="M51" s="34" t="n">
        <f aca="false">F51*L51</f>
        <v>3920</v>
      </c>
      <c r="N51" s="42" t="s">
        <v>186</v>
      </c>
      <c r="O51" s="34" t="n">
        <f aca="false">1009.05/1.2</f>
        <v>840.88</v>
      </c>
      <c r="P51" s="34" t="n">
        <f aca="false">F51*O51</f>
        <v>3363.52</v>
      </c>
      <c r="Q51" s="35" t="n">
        <f aca="false">AVERAGE(I51,L51,O51)</f>
        <v>933.63</v>
      </c>
      <c r="R51" s="36" t="n">
        <f aca="false">G51*100/Q51-100</f>
        <v>0</v>
      </c>
      <c r="S51" s="35" t="n">
        <f aca="false">Q51*F51</f>
        <v>3734.52</v>
      </c>
      <c r="T51" s="37"/>
      <c r="V51" s="39" t="n">
        <f aca="false">ROUND(I51*100/Q51-100,0)</f>
        <v>5</v>
      </c>
      <c r="W51" s="39" t="n">
        <f aca="false">ROUND(L51*100/Q51-100,0)</f>
        <v>5</v>
      </c>
      <c r="X51" s="39" t="n">
        <f aca="false">ROUND(O51*100/Q51-100,0)</f>
        <v>-10</v>
      </c>
      <c r="Y51" s="85" t="n">
        <f aca="false">Q51/1.2</f>
        <v>778.03</v>
      </c>
      <c r="Z51" s="85" t="n">
        <f aca="false">Q51*1.2</f>
        <v>1120.36</v>
      </c>
      <c r="AA51" s="86" t="n">
        <f aca="false">AND((I51)&gt;=MIN(Y51),(I51)&lt;=MAX(Z51))</f>
        <v>1</v>
      </c>
      <c r="AB51" s="86" t="n">
        <f aca="false">AND((L51)&gt;=MIN(Y51),(L51)&lt;=MAX(Z51))</f>
        <v>1</v>
      </c>
      <c r="AC51" s="86" t="n">
        <f aca="false">AND((O51)&gt;=MIN(Y51),(O51)&lt;=MAX(Z51))</f>
        <v>1</v>
      </c>
      <c r="AD51" s="95" t="s">
        <v>774</v>
      </c>
      <c r="AE51" s="88" t="n">
        <f aca="false">854/1.2</f>
        <v>711.67</v>
      </c>
      <c r="AF51" s="88" t="n">
        <f aca="false">AE51*F51</f>
        <v>2846.68</v>
      </c>
      <c r="AG51" s="95" t="s">
        <v>775</v>
      </c>
      <c r="AH51" s="88" t="n">
        <f aca="false">1083/1.2</f>
        <v>902.5</v>
      </c>
      <c r="AI51" s="89" t="n">
        <f aca="false">AH51*F51</f>
        <v>3610</v>
      </c>
      <c r="AJ51" s="95" t="s">
        <v>776</v>
      </c>
      <c r="AK51" s="88" t="n">
        <f aca="false">910/1.2</f>
        <v>758.33</v>
      </c>
      <c r="AL51" s="89" t="n">
        <f aca="false">AK51*F51</f>
        <v>3033.32</v>
      </c>
      <c r="AM51" s="91" t="n">
        <f aca="false">AVERAGE(AE51,AH51,AK51)</f>
        <v>790.83</v>
      </c>
      <c r="AN51" s="91" t="n">
        <f aca="false">((G51-AM51)/AM51)*100</f>
        <v>18.06</v>
      </c>
      <c r="AO51" s="92" t="n">
        <f aca="false">AM51/1.2</f>
        <v>659.03</v>
      </c>
      <c r="AP51" s="92" t="n">
        <f aca="false">AM51*1.2</f>
        <v>949</v>
      </c>
      <c r="AQ51" s="86" t="n">
        <f aca="false">AND((AE51)&gt;=MIN(AO51),(AE51)&lt;=MAX(AP51))</f>
        <v>1</v>
      </c>
      <c r="AR51" s="86" t="n">
        <f aca="false">AND((AH51)&gt;=MIN(AO51),(AH51)&lt;=MAX(AP51))</f>
        <v>1</v>
      </c>
      <c r="AS51" s="86" t="n">
        <f aca="false">AND((AK51)&gt;=MIN(AO51),(AK51)&lt;=MAX(AP51))</f>
        <v>1</v>
      </c>
    </row>
    <row r="52" s="38" customFormat="true" ht="104.25" hidden="false" customHeight="true" outlineLevel="0" collapsed="false">
      <c r="A52" s="221" t="n">
        <v>45</v>
      </c>
      <c r="B52" s="104" t="s">
        <v>777</v>
      </c>
      <c r="C52" s="215"/>
      <c r="D52" s="43" t="s">
        <v>778</v>
      </c>
      <c r="E52" s="44" t="s">
        <v>143</v>
      </c>
      <c r="F52" s="45" t="n">
        <v>2</v>
      </c>
      <c r="G52" s="32" t="n">
        <f aca="false">Q52</f>
        <v>2284.52</v>
      </c>
      <c r="H52" s="42" t="s">
        <v>188</v>
      </c>
      <c r="I52" s="34" t="n">
        <f aca="false">2613.6/1.2</f>
        <v>2178</v>
      </c>
      <c r="J52" s="34" t="n">
        <f aca="false">F52*I52</f>
        <v>4356</v>
      </c>
      <c r="K52" s="42" t="s">
        <v>189</v>
      </c>
      <c r="L52" s="34" t="n">
        <f aca="false">2925.67/1.2</f>
        <v>2438.06</v>
      </c>
      <c r="M52" s="34" t="n">
        <f aca="false">F52*L52</f>
        <v>4876.12</v>
      </c>
      <c r="N52" s="42" t="s">
        <v>190</v>
      </c>
      <c r="O52" s="34" t="n">
        <f aca="false">2685/1.2</f>
        <v>2237.5</v>
      </c>
      <c r="P52" s="34" t="n">
        <f aca="false">F52*O52</f>
        <v>4475</v>
      </c>
      <c r="Q52" s="35" t="n">
        <f aca="false">AVERAGE(I52,L52,O52)</f>
        <v>2284.52</v>
      </c>
      <c r="R52" s="36" t="n">
        <f aca="false">G52*100/Q52-100</f>
        <v>0</v>
      </c>
      <c r="S52" s="35" t="n">
        <f aca="false">Q52*F52</f>
        <v>4569.04</v>
      </c>
      <c r="T52" s="37"/>
      <c r="V52" s="39" t="n">
        <f aca="false">ROUND(I52*100/Q52-100,0)</f>
        <v>-5</v>
      </c>
      <c r="W52" s="39" t="n">
        <f aca="false">ROUND(L52*100/Q52-100,0)</f>
        <v>7</v>
      </c>
      <c r="X52" s="39" t="n">
        <f aca="false">ROUND(O52*100/Q52-100,0)</f>
        <v>-2</v>
      </c>
      <c r="Y52" s="85" t="n">
        <f aca="false">Q52/1.2</f>
        <v>1903.77</v>
      </c>
      <c r="Z52" s="85" t="n">
        <f aca="false">Q52*1.2</f>
        <v>2741.42</v>
      </c>
      <c r="AA52" s="86" t="n">
        <f aca="false">AND((I52)&gt;=MIN(Y52),(I52)&lt;=MAX(Z52))</f>
        <v>1</v>
      </c>
      <c r="AB52" s="86" t="n">
        <f aca="false">AND((L52)&gt;=MIN(Y52),(L52)&lt;=MAX(Z52))</f>
        <v>1</v>
      </c>
      <c r="AC52" s="86" t="n">
        <f aca="false">AND((O52)&gt;=MIN(Y52),(O52)&lt;=MAX(Z52))</f>
        <v>1</v>
      </c>
      <c r="AD52" s="95" t="s">
        <v>779</v>
      </c>
      <c r="AE52" s="88" t="n">
        <f aca="false">2925.67/1.2</f>
        <v>2438.06</v>
      </c>
      <c r="AF52" s="88" t="n">
        <f aca="false">AE52*F52</f>
        <v>4876.12</v>
      </c>
      <c r="AG52" s="95" t="s">
        <v>780</v>
      </c>
      <c r="AH52" s="88" t="n">
        <f aca="false">3600/1.2</f>
        <v>3000</v>
      </c>
      <c r="AI52" s="89" t="n">
        <f aca="false">AH52*F52</f>
        <v>6000</v>
      </c>
      <c r="AJ52" s="95" t="s">
        <v>781</v>
      </c>
      <c r="AK52" s="88" t="n">
        <f aca="false">2686/1.2</f>
        <v>2238.33</v>
      </c>
      <c r="AL52" s="89" t="n">
        <f aca="false">AK52*F52</f>
        <v>4476.66</v>
      </c>
      <c r="AM52" s="91" t="n">
        <f aca="false">AVERAGE(AE52,AH52,AK52)</f>
        <v>2558.8</v>
      </c>
      <c r="AN52" s="91" t="n">
        <f aca="false">((G52-AM52)/AM52)*100</f>
        <v>-10.72</v>
      </c>
      <c r="AO52" s="92" t="n">
        <f aca="false">AM52/1.2</f>
        <v>2132.33</v>
      </c>
      <c r="AP52" s="92" t="n">
        <f aca="false">AM52*1.2</f>
        <v>3070.56</v>
      </c>
      <c r="AQ52" s="86" t="n">
        <f aca="false">AND((AE52)&gt;=MIN(AO52),(AE52)&lt;=MAX(AP52))</f>
        <v>1</v>
      </c>
      <c r="AR52" s="86" t="n">
        <f aca="false">AND((AH52)&gt;=MIN(AO52),(AH52)&lt;=MAX(AP52))</f>
        <v>1</v>
      </c>
      <c r="AS52" s="86" t="n">
        <f aca="false">AND((AK52)&gt;=MIN(AO52),(AK52)&lt;=MAX(AP52))</f>
        <v>1</v>
      </c>
    </row>
    <row r="53" s="38" customFormat="true" ht="104.25" hidden="false" customHeight="true" outlineLevel="0" collapsed="false">
      <c r="A53" s="221" t="n">
        <v>46</v>
      </c>
      <c r="B53" s="104" t="s">
        <v>769</v>
      </c>
      <c r="C53" s="215"/>
      <c r="D53" s="43" t="s">
        <v>782</v>
      </c>
      <c r="E53" s="44" t="s">
        <v>143</v>
      </c>
      <c r="F53" s="45" t="n">
        <v>1</v>
      </c>
      <c r="G53" s="32" t="n">
        <f aca="false">Q53</f>
        <v>2652.96</v>
      </c>
      <c r="H53" s="42" t="s">
        <v>192</v>
      </c>
      <c r="I53" s="34" t="n">
        <f aca="false">3600/1.2</f>
        <v>3000</v>
      </c>
      <c r="J53" s="34" t="n">
        <f aca="false">F53*I53</f>
        <v>3000</v>
      </c>
      <c r="K53" s="42" t="s">
        <v>189</v>
      </c>
      <c r="L53" s="34" t="n">
        <f aca="false">2925.67/1.2</f>
        <v>2438.06</v>
      </c>
      <c r="M53" s="34" t="n">
        <f aca="false">F53*L53</f>
        <v>2438.06</v>
      </c>
      <c r="N53" s="42" t="s">
        <v>193</v>
      </c>
      <c r="O53" s="34" t="n">
        <f aca="false">3025/1.2</f>
        <v>2520.83</v>
      </c>
      <c r="P53" s="34" t="n">
        <f aca="false">F53*O53</f>
        <v>2520.83</v>
      </c>
      <c r="Q53" s="35" t="n">
        <f aca="false">AVERAGE(I53,L53,O53)</f>
        <v>2652.96</v>
      </c>
      <c r="R53" s="36" t="n">
        <f aca="false">G53*100/Q53-100</f>
        <v>0</v>
      </c>
      <c r="S53" s="35" t="n">
        <f aca="false">Q53*F53</f>
        <v>2652.96</v>
      </c>
      <c r="T53" s="37"/>
      <c r="V53" s="39" t="n">
        <f aca="false">ROUND(I53*100/Q53-100,0)</f>
        <v>13</v>
      </c>
      <c r="W53" s="39" t="n">
        <f aca="false">ROUND(L53*100/Q53-100,0)</f>
        <v>-8</v>
      </c>
      <c r="X53" s="39" t="n">
        <f aca="false">ROUND(O53*100/Q53-100,0)</f>
        <v>-5</v>
      </c>
      <c r="Y53" s="85" t="n">
        <f aca="false">Q53/1.2</f>
        <v>2210.8</v>
      </c>
      <c r="Z53" s="85" t="n">
        <f aca="false">Q53*1.2</f>
        <v>3183.55</v>
      </c>
      <c r="AA53" s="86" t="n">
        <f aca="false">AND((I53)&gt;=MIN(Y53),(I53)&lt;=MAX(Z53))</f>
        <v>1</v>
      </c>
      <c r="AB53" s="86" t="n">
        <f aca="false">AND((L53)&gt;=MIN(Y53),(L53)&lt;=MAX(Z53))</f>
        <v>1</v>
      </c>
      <c r="AC53" s="86" t="n">
        <f aca="false">AND((O53)&gt;=MIN(Y53),(O53)&lt;=MAX(Z53))</f>
        <v>1</v>
      </c>
      <c r="AD53" s="95" t="s">
        <v>783</v>
      </c>
      <c r="AE53" s="88" t="n">
        <f aca="false">2925.67/1.2</f>
        <v>2438.06</v>
      </c>
      <c r="AF53" s="88" t="n">
        <f aca="false">AE53*F53</f>
        <v>2438.06</v>
      </c>
      <c r="AG53" s="95" t="s">
        <v>784</v>
      </c>
      <c r="AH53" s="88" t="n">
        <f aca="false">4200/1.2</f>
        <v>3500</v>
      </c>
      <c r="AI53" s="89" t="n">
        <f aca="false">AH53*F53</f>
        <v>3500</v>
      </c>
      <c r="AJ53" s="95" t="s">
        <v>190</v>
      </c>
      <c r="AK53" s="88" t="n">
        <f aca="false">2685/1.2</f>
        <v>2237.5</v>
      </c>
      <c r="AL53" s="89" t="n">
        <f aca="false">AK53*F53</f>
        <v>2237.5</v>
      </c>
      <c r="AM53" s="91" t="n">
        <f aca="false">AVERAGE(AE53,AH53,AK53)</f>
        <v>2725.19</v>
      </c>
      <c r="AN53" s="91" t="n">
        <f aca="false">((G53-AM53)/AM53)*100</f>
        <v>-2.65</v>
      </c>
      <c r="AO53" s="92" t="n">
        <f aca="false">AM53/1.2</f>
        <v>2270.99</v>
      </c>
      <c r="AP53" s="92" t="n">
        <f aca="false">AM53*1.2</f>
        <v>3270.23</v>
      </c>
      <c r="AQ53" s="86" t="n">
        <f aca="false">AND((AE53)&gt;=MIN(AO53),(AE53)&lt;=MAX(AP53))</f>
        <v>1</v>
      </c>
      <c r="AR53" s="86" t="n">
        <f aca="false">AND((AH53)&gt;=MIN(AO53),(AH53)&lt;=MAX(AP53))</f>
        <v>0</v>
      </c>
      <c r="AS53" s="86" t="n">
        <f aca="false">AND((AK53)&gt;=MIN(AO53),(AK53)&lt;=MAX(AP53))</f>
        <v>0</v>
      </c>
    </row>
    <row r="54" s="38" customFormat="true" ht="104.25" hidden="false" customHeight="true" outlineLevel="0" collapsed="false">
      <c r="A54" s="221" t="n">
        <v>47</v>
      </c>
      <c r="B54" s="104" t="s">
        <v>769</v>
      </c>
      <c r="C54" s="215"/>
      <c r="D54" s="43" t="s">
        <v>785</v>
      </c>
      <c r="E54" s="44" t="s">
        <v>143</v>
      </c>
      <c r="F54" s="45" t="n">
        <v>1</v>
      </c>
      <c r="G54" s="32" t="n">
        <f aca="false">Q54</f>
        <v>2733.89</v>
      </c>
      <c r="H54" s="42" t="s">
        <v>195</v>
      </c>
      <c r="I54" s="34" t="n">
        <f aca="false">3600/1.2</f>
        <v>3000</v>
      </c>
      <c r="J54" s="34" t="n">
        <f aca="false">F54*I54</f>
        <v>3000</v>
      </c>
      <c r="K54" s="42" t="s">
        <v>196</v>
      </c>
      <c r="L54" s="34" t="n">
        <f aca="false">3218/1.2</f>
        <v>2681.67</v>
      </c>
      <c r="M54" s="34" t="n">
        <f aca="false">F54*L54</f>
        <v>2681.67</v>
      </c>
      <c r="N54" s="42" t="s">
        <v>197</v>
      </c>
      <c r="O54" s="34" t="n">
        <f aca="false">3024/1.2</f>
        <v>2520</v>
      </c>
      <c r="P54" s="34" t="n">
        <f aca="false">F54*O54</f>
        <v>2520</v>
      </c>
      <c r="Q54" s="35" t="n">
        <f aca="false">AVERAGE(I54,L54,O54)</f>
        <v>2733.89</v>
      </c>
      <c r="R54" s="36" t="n">
        <f aca="false">G54*100/Q54-100</f>
        <v>0</v>
      </c>
      <c r="S54" s="35" t="n">
        <f aca="false">Q54*F54</f>
        <v>2733.89</v>
      </c>
      <c r="T54" s="37"/>
      <c r="V54" s="39" t="n">
        <f aca="false">ROUND(I54*100/Q54-100,0)</f>
        <v>10</v>
      </c>
      <c r="W54" s="39" t="n">
        <f aca="false">ROUND(L54*100/Q54-100,0)</f>
        <v>-2</v>
      </c>
      <c r="X54" s="39" t="n">
        <f aca="false">ROUND(O54*100/Q54-100,0)</f>
        <v>-8</v>
      </c>
      <c r="Y54" s="85" t="n">
        <f aca="false">Q54/1.2</f>
        <v>2278.24</v>
      </c>
      <c r="Z54" s="85" t="n">
        <f aca="false">Q54*1.2</f>
        <v>3280.67</v>
      </c>
      <c r="AA54" s="86" t="n">
        <f aca="false">AND((I54)&gt;=MIN(Y54),(I54)&lt;=MAX(Z54))</f>
        <v>1</v>
      </c>
      <c r="AB54" s="86" t="n">
        <f aca="false">AND((L54)&gt;=MIN(Y54),(L54)&lt;=MAX(Z54))</f>
        <v>1</v>
      </c>
      <c r="AC54" s="86" t="n">
        <f aca="false">AND((O54)&gt;=MIN(Y54),(O54)&lt;=MAX(Z54))</f>
        <v>1</v>
      </c>
      <c r="AD54" s="95" t="s">
        <v>786</v>
      </c>
      <c r="AE54" s="88" t="n">
        <f aca="false">2925.67/1.2</f>
        <v>2438.06</v>
      </c>
      <c r="AF54" s="88" t="n">
        <f aca="false">AE54*F54</f>
        <v>2438.06</v>
      </c>
      <c r="AG54" s="95" t="s">
        <v>787</v>
      </c>
      <c r="AH54" s="88" t="n">
        <f aca="false">3600/1.2</f>
        <v>3000</v>
      </c>
      <c r="AI54" s="89" t="n">
        <f aca="false">AH54*F54</f>
        <v>3000</v>
      </c>
      <c r="AJ54" s="95" t="s">
        <v>788</v>
      </c>
      <c r="AK54" s="88" t="n">
        <f aca="false">2784/1.2</f>
        <v>2320</v>
      </c>
      <c r="AL54" s="89" t="n">
        <f aca="false">AK54*F54</f>
        <v>2320</v>
      </c>
      <c r="AM54" s="91" t="n">
        <f aca="false">AVERAGE(AE54,AH54,AK54)</f>
        <v>2586.02</v>
      </c>
      <c r="AN54" s="91" t="n">
        <f aca="false">((G54-AM54)/AM54)*100</f>
        <v>5.72</v>
      </c>
      <c r="AO54" s="92" t="n">
        <f aca="false">AM54/1.2</f>
        <v>2155.02</v>
      </c>
      <c r="AP54" s="92" t="n">
        <f aca="false">AM54*1.2</f>
        <v>3103.22</v>
      </c>
      <c r="AQ54" s="86" t="n">
        <f aca="false">AND((AE54)&gt;=MIN(AO54),(AE54)&lt;=MAX(AP54))</f>
        <v>1</v>
      </c>
      <c r="AR54" s="86" t="n">
        <f aca="false">AND((AH54)&gt;=MIN(AO54),(AH54)&lt;=MAX(AP54))</f>
        <v>1</v>
      </c>
      <c r="AS54" s="86" t="n">
        <f aca="false">AND((AK54)&gt;=MIN(AO54),(AK54)&lt;=MAX(AP54))</f>
        <v>1</v>
      </c>
    </row>
    <row r="55" s="38" customFormat="true" ht="104.25" hidden="false" customHeight="true" outlineLevel="0" collapsed="false">
      <c r="A55" s="221" t="n">
        <v>48</v>
      </c>
      <c r="B55" s="104" t="s">
        <v>769</v>
      </c>
      <c r="C55" s="215"/>
      <c r="D55" s="43" t="s">
        <v>198</v>
      </c>
      <c r="E55" s="44" t="s">
        <v>143</v>
      </c>
      <c r="F55" s="45" t="n">
        <v>1</v>
      </c>
      <c r="G55" s="32" t="n">
        <f aca="false">Q55</f>
        <v>2757.03</v>
      </c>
      <c r="H55" s="95" t="s">
        <v>195</v>
      </c>
      <c r="I55" s="34" t="n">
        <f aca="false">3600/1.2*1.05</f>
        <v>3150</v>
      </c>
      <c r="J55" s="34" t="n">
        <f aca="false">F55*I55</f>
        <v>3150</v>
      </c>
      <c r="K55" s="106" t="s">
        <v>199</v>
      </c>
      <c r="L55" s="34" t="n">
        <f aca="false">2814/1.2</f>
        <v>2345</v>
      </c>
      <c r="M55" s="34" t="n">
        <f aca="false">F55*L55</f>
        <v>2345</v>
      </c>
      <c r="N55" s="106" t="s">
        <v>200</v>
      </c>
      <c r="O55" s="34" t="n">
        <f aca="false">3331.3/1.2</f>
        <v>2776.08</v>
      </c>
      <c r="P55" s="34" t="n">
        <f aca="false">F55*O55</f>
        <v>2776.08</v>
      </c>
      <c r="Q55" s="35" t="n">
        <f aca="false">AVERAGE(I55,L55,O55)</f>
        <v>2757.03</v>
      </c>
      <c r="R55" s="36" t="n">
        <f aca="false">G55*100/Q55-100</f>
        <v>0</v>
      </c>
      <c r="S55" s="35" t="n">
        <f aca="false">Q55*F55</f>
        <v>2757.03</v>
      </c>
      <c r="T55" s="37"/>
      <c r="V55" s="39" t="n">
        <f aca="false">ROUND(I55*100/Q55-100,0)</f>
        <v>14</v>
      </c>
      <c r="W55" s="39" t="n">
        <f aca="false">ROUND(L55*100/Q55-100,0)</f>
        <v>-15</v>
      </c>
      <c r="X55" s="39" t="n">
        <f aca="false">ROUND(O55*100/Q55-100,0)</f>
        <v>1</v>
      </c>
      <c r="Y55" s="85" t="n">
        <f aca="false">Q55/1.2</f>
        <v>2297.53</v>
      </c>
      <c r="Z55" s="85" t="n">
        <f aca="false">Q55*1.2</f>
        <v>3308.44</v>
      </c>
      <c r="AA55" s="86" t="n">
        <f aca="false">AND((I55)&gt;=MIN(Y55),(I55)&lt;=MAX(Z55))</f>
        <v>1</v>
      </c>
      <c r="AB55" s="86" t="n">
        <f aca="false">AND((L55)&gt;=MIN(Y55),(L55)&lt;=MAX(Z55))</f>
        <v>1</v>
      </c>
      <c r="AC55" s="86" t="n">
        <f aca="false">AND((O55)&gt;=MIN(Y55),(O55)&lt;=MAX(Z55))</f>
        <v>1</v>
      </c>
      <c r="AD55" s="95" t="s">
        <v>789</v>
      </c>
      <c r="AE55" s="88" t="n">
        <f aca="false">2771/1.2</f>
        <v>2309.17</v>
      </c>
      <c r="AF55" s="88" t="n">
        <f aca="false">AE55*F55</f>
        <v>2309.17</v>
      </c>
      <c r="AG55" s="95" t="s">
        <v>790</v>
      </c>
      <c r="AH55" s="88" t="n">
        <f aca="false">3331.3/1.2</f>
        <v>2776.08</v>
      </c>
      <c r="AI55" s="89" t="n">
        <f aca="false">AH55*F55</f>
        <v>2776.08</v>
      </c>
      <c r="AJ55" s="95" t="s">
        <v>791</v>
      </c>
      <c r="AK55" s="88" t="n">
        <f aca="false">2685/1.2</f>
        <v>2237.5</v>
      </c>
      <c r="AL55" s="89" t="n">
        <f aca="false">AK55*F55</f>
        <v>2237.5</v>
      </c>
      <c r="AM55" s="91" t="n">
        <f aca="false">AVERAGE(AE55,AH55,AK55)</f>
        <v>2440.92</v>
      </c>
      <c r="AN55" s="91" t="n">
        <f aca="false">((G55-AM55)/AM55)*100</f>
        <v>12.95</v>
      </c>
      <c r="AO55" s="92" t="n">
        <f aca="false">AM55/1.2</f>
        <v>2034.1</v>
      </c>
      <c r="AP55" s="92" t="n">
        <f aca="false">AM55*1.2</f>
        <v>2929.1</v>
      </c>
      <c r="AQ55" s="86" t="n">
        <f aca="false">AND((AE55)&gt;=MIN(AO55),(AE55)&lt;=MAX(AP55))</f>
        <v>1</v>
      </c>
      <c r="AR55" s="86" t="n">
        <f aca="false">AND((AH55)&gt;=MIN(AO55),(AH55)&lt;=MAX(AP55))</f>
        <v>1</v>
      </c>
      <c r="AS55" s="86" t="n">
        <f aca="false">AND((AK55)&gt;=MIN(AO55),(AK55)&lt;=MAX(AP55))</f>
        <v>1</v>
      </c>
    </row>
    <row r="56" s="38" customFormat="true" ht="104.25" hidden="false" customHeight="true" outlineLevel="0" collapsed="false">
      <c r="A56" s="221" t="n">
        <v>49</v>
      </c>
      <c r="B56" s="104" t="s">
        <v>769</v>
      </c>
      <c r="C56" s="215"/>
      <c r="D56" s="43" t="s">
        <v>201</v>
      </c>
      <c r="E56" s="44" t="s">
        <v>143</v>
      </c>
      <c r="F56" s="45" t="n">
        <v>2</v>
      </c>
      <c r="G56" s="32" t="n">
        <f aca="false">Q56</f>
        <v>2840</v>
      </c>
      <c r="H56" s="42" t="s">
        <v>197</v>
      </c>
      <c r="I56" s="34" t="n">
        <f aca="false">3024/1.2</f>
        <v>2520</v>
      </c>
      <c r="J56" s="34" t="n">
        <f aca="false">F56*I56</f>
        <v>5040</v>
      </c>
      <c r="K56" s="42" t="s">
        <v>202</v>
      </c>
      <c r="L56" s="34" t="n">
        <f aca="false">3600/1.2</f>
        <v>3000</v>
      </c>
      <c r="M56" s="34" t="n">
        <f aca="false">F56*L56</f>
        <v>6000</v>
      </c>
      <c r="N56" s="42" t="s">
        <v>203</v>
      </c>
      <c r="O56" s="34" t="n">
        <f aca="false">3600/1.2</f>
        <v>3000</v>
      </c>
      <c r="P56" s="34" t="n">
        <f aca="false">F56*O56</f>
        <v>6000</v>
      </c>
      <c r="Q56" s="35" t="n">
        <f aca="false">AVERAGE(I56,L56,O56)</f>
        <v>2840</v>
      </c>
      <c r="R56" s="36" t="n">
        <f aca="false">G56*100/Q56-100</f>
        <v>0</v>
      </c>
      <c r="S56" s="35" t="n">
        <f aca="false">Q56*F56</f>
        <v>5680</v>
      </c>
      <c r="T56" s="37"/>
      <c r="V56" s="39" t="n">
        <f aca="false">ROUND(I56*100/Q56-100,0)</f>
        <v>-11</v>
      </c>
      <c r="W56" s="39" t="n">
        <f aca="false">ROUND(L56*100/Q56-100,0)</f>
        <v>6</v>
      </c>
      <c r="X56" s="39" t="n">
        <f aca="false">ROUND(O56*100/Q56-100,0)</f>
        <v>6</v>
      </c>
      <c r="Y56" s="85" t="n">
        <f aca="false">Q56/1.2</f>
        <v>2366.67</v>
      </c>
      <c r="Z56" s="85" t="n">
        <f aca="false">Q56*1.2</f>
        <v>3408</v>
      </c>
      <c r="AA56" s="86" t="n">
        <f aca="false">AND((I56)&gt;=MIN(Y56),(I56)&lt;=MAX(Z56))</f>
        <v>1</v>
      </c>
      <c r="AB56" s="86" t="n">
        <f aca="false">AND((L56)&gt;=MIN(Y56),(L56)&lt;=MAX(Z56))</f>
        <v>1</v>
      </c>
      <c r="AC56" s="86" t="n">
        <f aca="false">AND((O56)&gt;=MIN(Y56),(O56)&lt;=MAX(Z56))</f>
        <v>1</v>
      </c>
      <c r="AD56" s="95" t="s">
        <v>792</v>
      </c>
      <c r="AE56" s="88" t="n">
        <f aca="false">2925.67/1.2</f>
        <v>2438.06</v>
      </c>
      <c r="AF56" s="88" t="n">
        <f aca="false">AE56*F56</f>
        <v>4876.12</v>
      </c>
      <c r="AG56" s="95" t="s">
        <v>793</v>
      </c>
      <c r="AH56" s="88" t="n">
        <f aca="false">3331.3/1.2</f>
        <v>2776.08</v>
      </c>
      <c r="AI56" s="89" t="n">
        <f aca="false">AH56*F56</f>
        <v>5552.16</v>
      </c>
      <c r="AJ56" s="95" t="s">
        <v>794</v>
      </c>
      <c r="AK56" s="88" t="n">
        <f aca="false">3600/1.2</f>
        <v>3000</v>
      </c>
      <c r="AL56" s="89" t="n">
        <f aca="false">AK56*F56</f>
        <v>6000</v>
      </c>
      <c r="AM56" s="91" t="n">
        <f aca="false">AVERAGE(AE56,AH56,AK56)</f>
        <v>2738.05</v>
      </c>
      <c r="AN56" s="91" t="n">
        <f aca="false">((G56-AM56)/AM56)*100</f>
        <v>3.72</v>
      </c>
      <c r="AO56" s="92" t="n">
        <f aca="false">AM56/1.2</f>
        <v>2281.71</v>
      </c>
      <c r="AP56" s="92" t="n">
        <f aca="false">AM56*1.2</f>
        <v>3285.66</v>
      </c>
      <c r="AQ56" s="86" t="n">
        <f aca="false">AND((AE56)&gt;=MIN(AO56),(AE56)&lt;=MAX(AP56))</f>
        <v>1</v>
      </c>
      <c r="AR56" s="86" t="n">
        <f aca="false">AND((AH56)&gt;=MIN(AO56),(AH56)&lt;=MAX(AP56))</f>
        <v>1</v>
      </c>
      <c r="AS56" s="86" t="n">
        <f aca="false">AND((AK56)&gt;=MIN(AO56),(AK56)&lt;=MAX(AP56))</f>
        <v>1</v>
      </c>
    </row>
    <row r="57" s="38" customFormat="true" ht="104.25" hidden="false" customHeight="true" outlineLevel="0" collapsed="false">
      <c r="A57" s="221" t="n">
        <v>50</v>
      </c>
      <c r="B57" s="104" t="s">
        <v>1150</v>
      </c>
      <c r="C57" s="215"/>
      <c r="D57" s="43" t="s">
        <v>204</v>
      </c>
      <c r="E57" s="44" t="s">
        <v>143</v>
      </c>
      <c r="F57" s="45" t="n">
        <v>2</v>
      </c>
      <c r="G57" s="32" t="n">
        <f aca="false">Q57</f>
        <v>2879.86</v>
      </c>
      <c r="H57" s="42" t="s">
        <v>197</v>
      </c>
      <c r="I57" s="34" t="n">
        <f aca="false">3024/1.2</f>
        <v>2520</v>
      </c>
      <c r="J57" s="34" t="n">
        <f aca="false">F57*I57</f>
        <v>5040</v>
      </c>
      <c r="K57" s="42" t="s">
        <v>205</v>
      </c>
      <c r="L57" s="34" t="n">
        <f aca="false">3370.5/1.2</f>
        <v>2808.75</v>
      </c>
      <c r="M57" s="34" t="n">
        <f aca="false">F57*L57</f>
        <v>5617.5</v>
      </c>
      <c r="N57" s="42" t="s">
        <v>206</v>
      </c>
      <c r="O57" s="34" t="n">
        <f aca="false">3973/1.2</f>
        <v>3310.83</v>
      </c>
      <c r="P57" s="34" t="n">
        <f aca="false">F57*O57</f>
        <v>6621.66</v>
      </c>
      <c r="Q57" s="35" t="n">
        <f aca="false">AVERAGE(I57,L57,O57)</f>
        <v>2879.86</v>
      </c>
      <c r="R57" s="36" t="n">
        <f aca="false">G57*100/Q57-100</f>
        <v>0</v>
      </c>
      <c r="S57" s="35" t="n">
        <f aca="false">Q57*F57</f>
        <v>5759.72</v>
      </c>
      <c r="T57" s="37"/>
      <c r="V57" s="39" t="n">
        <f aca="false">ROUND(I57*100/Q57-100,0)</f>
        <v>-12</v>
      </c>
      <c r="W57" s="39" t="n">
        <f aca="false">ROUND(L57*100/Q57-100,0)</f>
        <v>-2</v>
      </c>
      <c r="X57" s="39" t="n">
        <f aca="false">ROUND(O57*100/Q57-100,0)</f>
        <v>15</v>
      </c>
      <c r="Y57" s="85" t="n">
        <f aca="false">Q57/1.2</f>
        <v>2399.88</v>
      </c>
      <c r="Z57" s="85" t="n">
        <f aca="false">Q57*1.2</f>
        <v>3455.83</v>
      </c>
      <c r="AA57" s="86" t="n">
        <f aca="false">AND((I57)&gt;=MIN(Y57),(I57)&lt;=MAX(Z57))</f>
        <v>1</v>
      </c>
      <c r="AB57" s="86" t="n">
        <f aca="false">AND((L57)&gt;=MIN(Y57),(L57)&lt;=MAX(Z57))</f>
        <v>1</v>
      </c>
      <c r="AC57" s="86" t="n">
        <f aca="false">AND((O57)&gt;=MIN(Y57),(O57)&lt;=MAX(Z57))</f>
        <v>1</v>
      </c>
      <c r="AD57" s="95" t="s">
        <v>796</v>
      </c>
      <c r="AE57" s="88" t="n">
        <f aca="false">2925.67/1.2</f>
        <v>2438.06</v>
      </c>
      <c r="AF57" s="88" t="n">
        <f aca="false">AE57*F57</f>
        <v>4876.12</v>
      </c>
      <c r="AG57" s="95" t="s">
        <v>797</v>
      </c>
      <c r="AH57" s="88" t="n">
        <f aca="false">3888/1.2</f>
        <v>3240</v>
      </c>
      <c r="AI57" s="89" t="n">
        <f aca="false">AH57*F57</f>
        <v>6480</v>
      </c>
      <c r="AJ57" s="95" t="s">
        <v>798</v>
      </c>
      <c r="AK57" s="88" t="n">
        <f aca="false">3600/1.2</f>
        <v>3000</v>
      </c>
      <c r="AL57" s="89" t="n">
        <f aca="false">AK57*F57</f>
        <v>6000</v>
      </c>
      <c r="AM57" s="91" t="n">
        <f aca="false">AVERAGE(AE57,AH57,AK57)</f>
        <v>2892.69</v>
      </c>
      <c r="AN57" s="91" t="n">
        <f aca="false">((G57-AM57)/AM57)*100</f>
        <v>-0.44</v>
      </c>
      <c r="AO57" s="92" t="n">
        <f aca="false">AM57/1.2</f>
        <v>2410.58</v>
      </c>
      <c r="AP57" s="92" t="n">
        <f aca="false">AM57*1.2</f>
        <v>3471.23</v>
      </c>
      <c r="AQ57" s="86" t="n">
        <f aca="false">AND((AE57)&gt;=MIN(AO57),(AE57)&lt;=MAX(AP57))</f>
        <v>1</v>
      </c>
      <c r="AR57" s="86" t="n">
        <f aca="false">AND((AH57)&gt;=MIN(AO57),(AH57)&lt;=MAX(AP57))</f>
        <v>1</v>
      </c>
      <c r="AS57" s="86" t="n">
        <f aca="false">AND((AK57)&gt;=MIN(AO57),(AK57)&lt;=MAX(AP57))</f>
        <v>1</v>
      </c>
    </row>
    <row r="58" s="38" customFormat="true" ht="104.25" hidden="false" customHeight="true" outlineLevel="0" collapsed="false">
      <c r="A58" s="221" t="n">
        <v>51</v>
      </c>
      <c r="B58" s="104" t="s">
        <v>799</v>
      </c>
      <c r="C58" s="215"/>
      <c r="D58" s="43" t="s">
        <v>800</v>
      </c>
      <c r="E58" s="44" t="s">
        <v>143</v>
      </c>
      <c r="F58" s="45" t="n">
        <v>1</v>
      </c>
      <c r="G58" s="32" t="n">
        <f aca="false">Q58</f>
        <v>2680.28</v>
      </c>
      <c r="H58" s="95" t="s">
        <v>208</v>
      </c>
      <c r="I58" s="34" t="n">
        <f aca="false">3600/1.2</f>
        <v>3000</v>
      </c>
      <c r="J58" s="34" t="n">
        <f aca="false">F58*I58</f>
        <v>3000</v>
      </c>
      <c r="K58" s="106" t="s">
        <v>209</v>
      </c>
      <c r="L58" s="34" t="n">
        <f aca="false">3025/1.2</f>
        <v>2520.83</v>
      </c>
      <c r="M58" s="34" t="n">
        <f aca="false">F58*L58</f>
        <v>2520.83</v>
      </c>
      <c r="N58" s="106" t="s">
        <v>197</v>
      </c>
      <c r="O58" s="34" t="n">
        <f aca="false">3024/1.2</f>
        <v>2520</v>
      </c>
      <c r="P58" s="34" t="n">
        <f aca="false">F58*O58</f>
        <v>2520</v>
      </c>
      <c r="Q58" s="35" t="n">
        <f aca="false">AVERAGE(I58,L58,O58)</f>
        <v>2680.28</v>
      </c>
      <c r="R58" s="36" t="n">
        <f aca="false">G58*100/Q58-100</f>
        <v>0</v>
      </c>
      <c r="S58" s="35" t="n">
        <f aca="false">Q58*F58</f>
        <v>2680.28</v>
      </c>
      <c r="T58" s="37"/>
      <c r="V58" s="39" t="n">
        <f aca="false">ROUND(I58*100/Q58-100,0)</f>
        <v>12</v>
      </c>
      <c r="W58" s="39" t="n">
        <f aca="false">ROUND(L58*100/Q58-100,0)</f>
        <v>-6</v>
      </c>
      <c r="X58" s="39" t="n">
        <f aca="false">ROUND(O58*100/Q58-100,0)</f>
        <v>-6</v>
      </c>
      <c r="Y58" s="85" t="n">
        <f aca="false">Q58/1.2</f>
        <v>2233.57</v>
      </c>
      <c r="Z58" s="85" t="n">
        <f aca="false">Q58*1.2</f>
        <v>3216.34</v>
      </c>
      <c r="AA58" s="86" t="n">
        <f aca="false">AND((I58)&gt;=MIN(Y58),(I58)&lt;=MAX(Z58))</f>
        <v>1</v>
      </c>
      <c r="AB58" s="86" t="n">
        <f aca="false">AND((L58)&gt;=MIN(Y58),(L58)&lt;=MAX(Z58))</f>
        <v>1</v>
      </c>
      <c r="AC58" s="86" t="n">
        <f aca="false">AND((O58)&gt;=MIN(Y58),(O58)&lt;=MAX(Z58))</f>
        <v>1</v>
      </c>
      <c r="AD58" s="95" t="s">
        <v>801</v>
      </c>
      <c r="AE58" s="88" t="n">
        <f aca="false">3720/1.2</f>
        <v>3100</v>
      </c>
      <c r="AF58" s="88" t="n">
        <f aca="false">AE58*F58</f>
        <v>3100</v>
      </c>
      <c r="AG58" s="95" t="s">
        <v>802</v>
      </c>
      <c r="AH58" s="88" t="n">
        <f aca="false">2925.67/1.2</f>
        <v>2438.06</v>
      </c>
      <c r="AI58" s="89" t="n">
        <f aca="false">AH58*F58</f>
        <v>2438.06</v>
      </c>
      <c r="AJ58" s="87" t="s">
        <v>803</v>
      </c>
      <c r="AK58" s="88" t="n">
        <f aca="false">3600/1.2</f>
        <v>3000</v>
      </c>
      <c r="AL58" s="89" t="n">
        <f aca="false">AK58*F58</f>
        <v>3000</v>
      </c>
      <c r="AM58" s="91" t="n">
        <f aca="false">AVERAGE(AE58,AH58,AK58)</f>
        <v>2846.02</v>
      </c>
      <c r="AN58" s="91" t="n">
        <f aca="false">((G58-AM58)/AM58)*100</f>
        <v>-5.82</v>
      </c>
      <c r="AO58" s="92" t="n">
        <f aca="false">AM58/1.2</f>
        <v>2371.68</v>
      </c>
      <c r="AP58" s="92" t="n">
        <f aca="false">AM58*1.2</f>
        <v>3415.22</v>
      </c>
      <c r="AQ58" s="86" t="n">
        <f aca="false">AND((AE58)&gt;=MIN(AO58),(AE58)&lt;=MAX(AP58))</f>
        <v>1</v>
      </c>
      <c r="AR58" s="86" t="n">
        <f aca="false">AND((AH58)&gt;=MIN(AO58),(AH58)&lt;=MAX(AP58))</f>
        <v>1</v>
      </c>
      <c r="AS58" s="86" t="n">
        <f aca="false">AND((AK58)&gt;=MIN(AO58),(AK58)&lt;=MAX(AP58))</f>
        <v>1</v>
      </c>
    </row>
    <row r="59" s="38" customFormat="true" ht="104.25" hidden="false" customHeight="true" outlineLevel="0" collapsed="false">
      <c r="A59" s="221" t="n">
        <v>52</v>
      </c>
      <c r="B59" s="104" t="s">
        <v>804</v>
      </c>
      <c r="C59" s="215"/>
      <c r="D59" s="43" t="s">
        <v>805</v>
      </c>
      <c r="E59" s="44" t="s">
        <v>143</v>
      </c>
      <c r="F59" s="45" t="n">
        <v>4</v>
      </c>
      <c r="G59" s="32" t="n">
        <f aca="false">Q59</f>
        <v>2339.61</v>
      </c>
      <c r="H59" s="42" t="s">
        <v>211</v>
      </c>
      <c r="I59" s="34" t="n">
        <f aca="false">2784/1.2</f>
        <v>2320</v>
      </c>
      <c r="J59" s="34" t="n">
        <f aca="false">F59*I59</f>
        <v>9280</v>
      </c>
      <c r="K59" s="42" t="s">
        <v>188</v>
      </c>
      <c r="L59" s="34" t="n">
        <f aca="false">2613.6/1.2</f>
        <v>2178</v>
      </c>
      <c r="M59" s="34" t="n">
        <f aca="false">F59*L59</f>
        <v>8712</v>
      </c>
      <c r="N59" s="42" t="s">
        <v>209</v>
      </c>
      <c r="O59" s="34" t="n">
        <f aca="false">3025/1.2</f>
        <v>2520.83</v>
      </c>
      <c r="P59" s="34" t="n">
        <f aca="false">F59*O59</f>
        <v>10083.32</v>
      </c>
      <c r="Q59" s="35" t="n">
        <f aca="false">AVERAGE(I59,L59,O59)</f>
        <v>2339.61</v>
      </c>
      <c r="R59" s="36" t="n">
        <f aca="false">G59*100/Q59-100</f>
        <v>0</v>
      </c>
      <c r="S59" s="35" t="n">
        <f aca="false">Q59*F59</f>
        <v>9358.44</v>
      </c>
      <c r="T59" s="37"/>
      <c r="V59" s="39" t="n">
        <f aca="false">ROUND(I59*100/Q59-100,0)</f>
        <v>-1</v>
      </c>
      <c r="W59" s="39" t="n">
        <f aca="false">ROUND(L59*100/Q59-100,0)</f>
        <v>-7</v>
      </c>
      <c r="X59" s="39" t="n">
        <f aca="false">ROUND(O59*100/Q59-100,0)</f>
        <v>8</v>
      </c>
      <c r="Y59" s="85" t="n">
        <f aca="false">Q59/1.2</f>
        <v>1949.68</v>
      </c>
      <c r="Z59" s="85" t="n">
        <f aca="false">Q59*1.2</f>
        <v>2807.53</v>
      </c>
      <c r="AA59" s="86" t="n">
        <f aca="false">AND((I59)&gt;=MIN(Y59),(I59)&lt;=MAX(Z59))</f>
        <v>1</v>
      </c>
      <c r="AB59" s="86" t="n">
        <f aca="false">AND((L59)&gt;=MIN(Y59),(L59)&lt;=MAX(Z59))</f>
        <v>1</v>
      </c>
      <c r="AC59" s="86" t="n">
        <f aca="false">AND((O59)&gt;=MIN(Y59),(O59)&lt;=MAX(Z59))</f>
        <v>1</v>
      </c>
      <c r="AD59" s="95" t="s">
        <v>806</v>
      </c>
      <c r="AE59" s="88" t="n">
        <f aca="false">3600/1.2</f>
        <v>3000</v>
      </c>
      <c r="AF59" s="88" t="n">
        <f aca="false">AE59*F59</f>
        <v>12000</v>
      </c>
      <c r="AG59" s="95" t="s">
        <v>807</v>
      </c>
      <c r="AH59" s="88" t="n">
        <f aca="false">2925.67/1.2</f>
        <v>2438.06</v>
      </c>
      <c r="AI59" s="89" t="n">
        <f aca="false">AH59*F59</f>
        <v>9752.24</v>
      </c>
      <c r="AJ59" s="95" t="s">
        <v>808</v>
      </c>
      <c r="AK59" s="88" t="n">
        <f aca="false">2686/1.2</f>
        <v>2238.33</v>
      </c>
      <c r="AL59" s="89" t="n">
        <f aca="false">AK59*F59</f>
        <v>8953.32</v>
      </c>
      <c r="AM59" s="91" t="n">
        <f aca="false">AVERAGE(AE59,AH59,AK59)</f>
        <v>2558.8</v>
      </c>
      <c r="AN59" s="91" t="n">
        <f aca="false">((G59-AM59)/AM59)*100</f>
        <v>-8.57</v>
      </c>
      <c r="AO59" s="92" t="n">
        <f aca="false">AM59/1.2</f>
        <v>2132.33</v>
      </c>
      <c r="AP59" s="92" t="n">
        <f aca="false">AM59*1.2</f>
        <v>3070.56</v>
      </c>
      <c r="AQ59" s="86" t="n">
        <f aca="false">AND((AE59)&gt;=MIN(AO59),(AE59)&lt;=MAX(AP59))</f>
        <v>1</v>
      </c>
      <c r="AR59" s="86" t="n">
        <f aca="false">AND((AH59)&gt;=MIN(AO59),(AH59)&lt;=MAX(AP59))</f>
        <v>1</v>
      </c>
      <c r="AS59" s="86" t="n">
        <f aca="false">AND((AK59)&gt;=MIN(AO59),(AK59)&lt;=MAX(AP59))</f>
        <v>1</v>
      </c>
    </row>
    <row r="60" s="38" customFormat="true" ht="104.25" hidden="false" customHeight="true" outlineLevel="0" collapsed="false">
      <c r="A60" s="28" t="n">
        <v>53</v>
      </c>
      <c r="B60" s="102"/>
      <c r="C60" s="220"/>
      <c r="D60" s="43" t="s">
        <v>212</v>
      </c>
      <c r="E60" s="44" t="s">
        <v>143</v>
      </c>
      <c r="F60" s="45" t="n">
        <v>4</v>
      </c>
      <c r="G60" s="32" t="n">
        <f aca="false">Q60</f>
        <v>169.17</v>
      </c>
      <c r="H60" s="33" t="s">
        <v>213</v>
      </c>
      <c r="I60" s="34" t="n">
        <f aca="false">206/1.2</f>
        <v>171.67</v>
      </c>
      <c r="J60" s="34" t="n">
        <f aca="false">F60*I60</f>
        <v>686.68</v>
      </c>
      <c r="K60" s="33" t="s">
        <v>214</v>
      </c>
      <c r="L60" s="34" t="n">
        <f aca="false">198/1.2</f>
        <v>165</v>
      </c>
      <c r="M60" s="34" t="n">
        <f aca="false">F60*L60</f>
        <v>660</v>
      </c>
      <c r="N60" s="33" t="s">
        <v>215</v>
      </c>
      <c r="O60" s="34" t="n">
        <f aca="false">205/1.2</f>
        <v>170.83</v>
      </c>
      <c r="P60" s="34" t="n">
        <f aca="false">F60*O60</f>
        <v>683.32</v>
      </c>
      <c r="Q60" s="35" t="n">
        <f aca="false">AVERAGE(I60,L60,O60)</f>
        <v>169.17</v>
      </c>
      <c r="R60" s="36" t="n">
        <f aca="false">G60*100/Q60-100</f>
        <v>0</v>
      </c>
      <c r="S60" s="35" t="n">
        <f aca="false">Q60*F60</f>
        <v>676.68</v>
      </c>
      <c r="T60" s="37"/>
      <c r="V60" s="39" t="n">
        <f aca="false">ROUND(I60*100/Q60-100,0)</f>
        <v>1</v>
      </c>
      <c r="W60" s="39" t="n">
        <f aca="false">ROUND(L60*100/Q60-100,0)</f>
        <v>-2</v>
      </c>
      <c r="X60" s="39" t="n">
        <f aca="false">ROUND(O60*100/Q60-100,0)</f>
        <v>1</v>
      </c>
      <c r="Y60" s="85" t="n">
        <f aca="false">Q60/1.2</f>
        <v>140.98</v>
      </c>
      <c r="Z60" s="85" t="n">
        <f aca="false">Q60*1.2</f>
        <v>203</v>
      </c>
      <c r="AA60" s="86" t="n">
        <f aca="false">AND((I60)&gt;=MIN(Y60),(I60)&lt;=MAX(Z60))</f>
        <v>1</v>
      </c>
      <c r="AB60" s="86" t="n">
        <f aca="false">AND((L60)&gt;=MIN(Y60),(L60)&lt;=MAX(Z60))</f>
        <v>1</v>
      </c>
      <c r="AC60" s="86" t="n">
        <f aca="false">AND((O60)&gt;=MIN(Y60),(O60)&lt;=MAX(Z60))</f>
        <v>1</v>
      </c>
      <c r="AD60" s="95" t="s">
        <v>809</v>
      </c>
      <c r="AE60" s="88" t="n">
        <f aca="false">211/1.2</f>
        <v>175.83</v>
      </c>
      <c r="AF60" s="88" t="n">
        <f aca="false">AE60*F60</f>
        <v>703.32</v>
      </c>
      <c r="AG60" s="95" t="s">
        <v>810</v>
      </c>
      <c r="AH60" s="88" t="n">
        <f aca="false">170/1.2</f>
        <v>141.67</v>
      </c>
      <c r="AI60" s="89" t="n">
        <f aca="false">AH60*F60</f>
        <v>566.68</v>
      </c>
      <c r="AJ60" s="95" t="s">
        <v>811</v>
      </c>
      <c r="AK60" s="88" t="n">
        <f aca="false">183/1.2</f>
        <v>152.5</v>
      </c>
      <c r="AL60" s="89" t="n">
        <f aca="false">AK60*F60</f>
        <v>610</v>
      </c>
      <c r="AM60" s="91" t="n">
        <f aca="false">AVERAGE(AE60,AH60,AK60)</f>
        <v>156.67</v>
      </c>
      <c r="AN60" s="91" t="n">
        <f aca="false">((G60-AM60)/AM60)*100</f>
        <v>7.98</v>
      </c>
      <c r="AO60" s="92" t="n">
        <f aca="false">AM60/1.2</f>
        <v>130.56</v>
      </c>
      <c r="AP60" s="92" t="n">
        <f aca="false">AM60*1.2</f>
        <v>188</v>
      </c>
      <c r="AQ60" s="86" t="n">
        <f aca="false">AND((AE60)&gt;=MIN(AO60),(AE60)&lt;=MAX(AP60))</f>
        <v>1</v>
      </c>
      <c r="AR60" s="86" t="n">
        <f aca="false">AND((AH60)&gt;=MIN(AO60),(AH60)&lt;=MAX(AP60))</f>
        <v>1</v>
      </c>
      <c r="AS60" s="86" t="n">
        <f aca="false">AND((AK60)&gt;=MIN(AO60),(AK60)&lt;=MAX(AP60))</f>
        <v>1</v>
      </c>
    </row>
    <row r="61" s="38" customFormat="true" ht="104.25" hidden="false" customHeight="true" outlineLevel="0" collapsed="false">
      <c r="A61" s="28" t="n">
        <v>54</v>
      </c>
      <c r="B61" s="102"/>
      <c r="C61" s="220"/>
      <c r="D61" s="43" t="s">
        <v>216</v>
      </c>
      <c r="E61" s="44" t="s">
        <v>64</v>
      </c>
      <c r="F61" s="45" t="n">
        <v>21.58</v>
      </c>
      <c r="G61" s="32" t="n">
        <f aca="false">Q61</f>
        <v>439.93</v>
      </c>
      <c r="H61" s="95" t="s">
        <v>217</v>
      </c>
      <c r="I61" s="34" t="n">
        <f aca="false">525/1.2*1.05</f>
        <v>459.38</v>
      </c>
      <c r="J61" s="34" t="n">
        <f aca="false">F61*I61</f>
        <v>9913.42</v>
      </c>
      <c r="K61" s="106" t="s">
        <v>218</v>
      </c>
      <c r="L61" s="34" t="n">
        <f aca="false">529/1.2</f>
        <v>440.83</v>
      </c>
      <c r="M61" s="34" t="n">
        <f aca="false">F61*L61</f>
        <v>9513.11</v>
      </c>
      <c r="N61" s="106" t="s">
        <v>219</v>
      </c>
      <c r="O61" s="34" t="n">
        <f aca="false">503.5/1.2</f>
        <v>419.58</v>
      </c>
      <c r="P61" s="34" t="n">
        <f aca="false">F61*O61</f>
        <v>9054.54</v>
      </c>
      <c r="Q61" s="35" t="n">
        <f aca="false">AVERAGE(I61,L61,O61)</f>
        <v>439.93</v>
      </c>
      <c r="R61" s="36" t="n">
        <f aca="false">G61*100/Q61-100</f>
        <v>0</v>
      </c>
      <c r="S61" s="35" t="n">
        <f aca="false">Q61*F61</f>
        <v>9493.69</v>
      </c>
      <c r="T61" s="37"/>
      <c r="V61" s="39" t="n">
        <f aca="false">ROUND(I61*100/Q61-100,0)</f>
        <v>4</v>
      </c>
      <c r="W61" s="39" t="n">
        <f aca="false">ROUND(L61*100/Q61-100,0)</f>
        <v>0</v>
      </c>
      <c r="X61" s="39" t="n">
        <f aca="false">ROUND(O61*100/Q61-100,0)</f>
        <v>-5</v>
      </c>
      <c r="Y61" s="85" t="n">
        <f aca="false">Q61/1.2</f>
        <v>366.61</v>
      </c>
      <c r="Z61" s="85" t="n">
        <f aca="false">Q61*1.2</f>
        <v>527.92</v>
      </c>
      <c r="AA61" s="86" t="n">
        <f aca="false">AND((I61)&gt;=MIN(Y61),(I61)&lt;=MAX(Z61))</f>
        <v>1</v>
      </c>
      <c r="AB61" s="86" t="n">
        <f aca="false">AND((L61)&gt;=MIN(Y61),(L61)&lt;=MAX(Z61))</f>
        <v>1</v>
      </c>
      <c r="AC61" s="86" t="n">
        <f aca="false">AND((O61)&gt;=MIN(Y61),(O61)&lt;=MAX(Z61))</f>
        <v>1</v>
      </c>
      <c r="AD61" s="95" t="s">
        <v>812</v>
      </c>
      <c r="AE61" s="88" t="n">
        <f aca="false">555/1.2</f>
        <v>462.5</v>
      </c>
      <c r="AF61" s="88" t="n">
        <f aca="false">AE61*F61</f>
        <v>9980.75</v>
      </c>
      <c r="AG61" s="95" t="s">
        <v>813</v>
      </c>
      <c r="AH61" s="88" t="n">
        <f aca="false">525/1.2</f>
        <v>437.5</v>
      </c>
      <c r="AI61" s="89" t="n">
        <f aca="false">AH61*F61</f>
        <v>9441.25</v>
      </c>
      <c r="AJ61" s="95" t="s">
        <v>814</v>
      </c>
      <c r="AK61" s="88" t="n">
        <f aca="false">500/1.2</f>
        <v>416.67</v>
      </c>
      <c r="AL61" s="89" t="n">
        <f aca="false">AK61*F61</f>
        <v>8991.74</v>
      </c>
      <c r="AM61" s="91" t="n">
        <f aca="false">AVERAGE(AE61,AH61,AK61)</f>
        <v>438.89</v>
      </c>
      <c r="AN61" s="91" t="n">
        <f aca="false">((G61-AM61)/AM61)*100</f>
        <v>0.24</v>
      </c>
      <c r="AO61" s="92" t="n">
        <f aca="false">AM61/1.2</f>
        <v>365.74</v>
      </c>
      <c r="AP61" s="92" t="n">
        <f aca="false">AM61*1.2</f>
        <v>526.67</v>
      </c>
      <c r="AQ61" s="86" t="n">
        <f aca="false">AND((AE61)&gt;=MIN(AO61),(AE61)&lt;=MAX(AP61))</f>
        <v>1</v>
      </c>
      <c r="AR61" s="86" t="n">
        <f aca="false">AND((AH61)&gt;=MIN(AO61),(AH61)&lt;=MAX(AP61))</f>
        <v>1</v>
      </c>
      <c r="AS61" s="86" t="n">
        <f aca="false">AND((AK61)&gt;=MIN(AO61),(AK61)&lt;=MAX(AP61))</f>
        <v>1</v>
      </c>
    </row>
    <row r="62" s="38" customFormat="true" ht="104.25" hidden="false" customHeight="true" outlineLevel="0" collapsed="false">
      <c r="A62" s="28" t="n">
        <v>55</v>
      </c>
      <c r="B62" s="102"/>
      <c r="C62" s="220"/>
      <c r="D62" s="43" t="s">
        <v>220</v>
      </c>
      <c r="E62" s="44" t="s">
        <v>27</v>
      </c>
      <c r="F62" s="45" t="n">
        <v>392.2</v>
      </c>
      <c r="G62" s="32" t="n">
        <f aca="false">Q62</f>
        <v>406.67</v>
      </c>
      <c r="H62" s="42" t="s">
        <v>221</v>
      </c>
      <c r="I62" s="34" t="n">
        <f aca="false">81400/180/1.2</f>
        <v>376.85</v>
      </c>
      <c r="J62" s="34" t="n">
        <f aca="false">F62*I62</f>
        <v>147800.57</v>
      </c>
      <c r="K62" s="42" t="s">
        <v>222</v>
      </c>
      <c r="L62" s="34" t="n">
        <f aca="false">85509/180/1.2</f>
        <v>395.88</v>
      </c>
      <c r="M62" s="34" t="n">
        <f aca="false">F62*L62</f>
        <v>155264.14</v>
      </c>
      <c r="N62" s="42" t="s">
        <v>223</v>
      </c>
      <c r="O62" s="34" t="n">
        <f aca="false">98760/184/1.2</f>
        <v>447.28</v>
      </c>
      <c r="P62" s="34" t="n">
        <f aca="false">F62*O62</f>
        <v>175423.22</v>
      </c>
      <c r="Q62" s="35" t="n">
        <f aca="false">AVERAGE(I62,L62,O62)</f>
        <v>406.67</v>
      </c>
      <c r="R62" s="36" t="n">
        <f aca="false">G62*100/Q62-100</f>
        <v>0</v>
      </c>
      <c r="S62" s="35" t="n">
        <f aca="false">Q62*F62</f>
        <v>159495.97</v>
      </c>
      <c r="T62" s="37"/>
      <c r="V62" s="39" t="n">
        <f aca="false">ROUND(I62*100/Q62-100,0)</f>
        <v>-7</v>
      </c>
      <c r="W62" s="39" t="n">
        <f aca="false">ROUND(L62*100/Q62-100,0)</f>
        <v>-3</v>
      </c>
      <c r="X62" s="39" t="n">
        <f aca="false">ROUND(O62*100/Q62-100,0)</f>
        <v>10</v>
      </c>
      <c r="Y62" s="85" t="n">
        <f aca="false">Q62/1.2</f>
        <v>338.89</v>
      </c>
      <c r="Z62" s="85" t="n">
        <f aca="false">Q62*1.2</f>
        <v>488</v>
      </c>
      <c r="AA62" s="86" t="n">
        <f aca="false">AND((I62)&gt;=MIN(Y62),(I62)&lt;=MAX(Z62))</f>
        <v>1</v>
      </c>
      <c r="AB62" s="86" t="n">
        <f aca="false">AND((L62)&gt;=MIN(Y62),(L62)&lt;=MAX(Z62))</f>
        <v>1</v>
      </c>
      <c r="AC62" s="86" t="n">
        <f aca="false">AND((O62)&gt;=MIN(Y62),(O62)&lt;=MAX(Z62))</f>
        <v>1</v>
      </c>
      <c r="AD62" s="95" t="s">
        <v>815</v>
      </c>
      <c r="AE62" s="88" t="n">
        <f aca="false">73827/180/1.2</f>
        <v>341.79</v>
      </c>
      <c r="AF62" s="88" t="n">
        <f aca="false">AE62*F62</f>
        <v>134050.04</v>
      </c>
      <c r="AG62" s="95" t="s">
        <v>816</v>
      </c>
      <c r="AH62" s="88" t="n">
        <f aca="false">83960/1.2/180</f>
        <v>388.7</v>
      </c>
      <c r="AI62" s="89" t="n">
        <f aca="false">AH62*F62</f>
        <v>152448.14</v>
      </c>
      <c r="AJ62" s="95" t="s">
        <v>817</v>
      </c>
      <c r="AK62" s="88" t="n">
        <f aca="false">85100/180/1.2</f>
        <v>393.98</v>
      </c>
      <c r="AL62" s="89" t="n">
        <f aca="false">AK62*F62</f>
        <v>154518.96</v>
      </c>
      <c r="AM62" s="91" t="n">
        <f aca="false">AVERAGE(AE62,AH62,AK62)</f>
        <v>374.82</v>
      </c>
      <c r="AN62" s="91" t="n">
        <f aca="false">((G62-AM62)/AM62)*100</f>
        <v>8.5</v>
      </c>
      <c r="AO62" s="92" t="n">
        <f aca="false">AM62/1.2</f>
        <v>312.35</v>
      </c>
      <c r="AP62" s="92" t="n">
        <f aca="false">AM62*1.2</f>
        <v>449.78</v>
      </c>
      <c r="AQ62" s="86" t="n">
        <f aca="false">AND((AE62)&gt;=MIN(AO62),(AE62)&lt;=MAX(AP62))</f>
        <v>1</v>
      </c>
      <c r="AR62" s="86" t="n">
        <f aca="false">AND((AH62)&gt;=MIN(AO62),(AH62)&lt;=MAX(AP62))</f>
        <v>1</v>
      </c>
      <c r="AS62" s="86" t="n">
        <f aca="false">AND((AK62)&gt;=MIN(AO62),(AK62)&lt;=MAX(AP62))</f>
        <v>1</v>
      </c>
    </row>
    <row r="63" s="38" customFormat="true" ht="104.25" hidden="false" customHeight="true" outlineLevel="0" collapsed="false">
      <c r="A63" s="28" t="n">
        <v>56</v>
      </c>
      <c r="B63" s="102"/>
      <c r="C63" s="220"/>
      <c r="D63" s="43" t="s">
        <v>224</v>
      </c>
      <c r="E63" s="44" t="s">
        <v>64</v>
      </c>
      <c r="F63" s="45" t="n">
        <v>60</v>
      </c>
      <c r="G63" s="32" t="n">
        <f aca="false">Q63</f>
        <v>292.33</v>
      </c>
      <c r="H63" s="42" t="s">
        <v>225</v>
      </c>
      <c r="I63" s="34" t="n">
        <f aca="false">1760/5/1.2</f>
        <v>293.33</v>
      </c>
      <c r="J63" s="34" t="n">
        <f aca="false">F63*I63</f>
        <v>17599.8</v>
      </c>
      <c r="K63" s="42" t="s">
        <v>226</v>
      </c>
      <c r="L63" s="34" t="n">
        <f aca="false">1727/5/1.2</f>
        <v>287.83</v>
      </c>
      <c r="M63" s="34" t="n">
        <f aca="false">F63*L63</f>
        <v>17269.8</v>
      </c>
      <c r="N63" s="42" t="s">
        <v>227</v>
      </c>
      <c r="O63" s="34" t="n">
        <f aca="false">355/1.2</f>
        <v>295.83</v>
      </c>
      <c r="P63" s="34" t="n">
        <f aca="false">F63*O63</f>
        <v>17749.8</v>
      </c>
      <c r="Q63" s="35" t="n">
        <f aca="false">AVERAGE(I63,L63,O63)</f>
        <v>292.33</v>
      </c>
      <c r="R63" s="36" t="n">
        <f aca="false">G63*100/Q63-100</f>
        <v>0</v>
      </c>
      <c r="S63" s="35" t="n">
        <f aca="false">Q63*F63</f>
        <v>17539.8</v>
      </c>
      <c r="T63" s="37"/>
      <c r="V63" s="39" t="n">
        <f aca="false">ROUND(I63*100/Q63-100,0)</f>
        <v>0</v>
      </c>
      <c r="W63" s="39" t="n">
        <f aca="false">ROUND(L63*100/Q63-100,0)</f>
        <v>-2</v>
      </c>
      <c r="X63" s="39" t="n">
        <f aca="false">ROUND(O63*100/Q63-100,0)</f>
        <v>1</v>
      </c>
      <c r="Y63" s="85" t="n">
        <f aca="false">Q63/1.2</f>
        <v>243.61</v>
      </c>
      <c r="Z63" s="85" t="n">
        <f aca="false">Q63*1.2</f>
        <v>350.8</v>
      </c>
      <c r="AA63" s="86" t="n">
        <f aca="false">AND((I63)&gt;=MIN(Y63),(I63)&lt;=MAX(Z63))</f>
        <v>1</v>
      </c>
      <c r="AB63" s="86" t="n">
        <f aca="false">AND((L63)&gt;=MIN(Y63),(L63)&lt;=MAX(Z63))</f>
        <v>1</v>
      </c>
      <c r="AC63" s="86" t="n">
        <f aca="false">AND((O63)&gt;=MIN(Y63),(O63)&lt;=MAX(Z63))</f>
        <v>1</v>
      </c>
      <c r="AD63" s="95" t="s">
        <v>818</v>
      </c>
      <c r="AE63" s="88" t="n">
        <f aca="false">1740/5/1.2</f>
        <v>290</v>
      </c>
      <c r="AF63" s="88" t="n">
        <f aca="false">AE63*F63</f>
        <v>17400</v>
      </c>
      <c r="AG63" s="95" t="s">
        <v>819</v>
      </c>
      <c r="AH63" s="88" t="n">
        <f aca="false">1818/1.2/5</f>
        <v>303</v>
      </c>
      <c r="AI63" s="89" t="n">
        <f aca="false">AH63*F63</f>
        <v>18180</v>
      </c>
      <c r="AJ63" s="95" t="s">
        <v>820</v>
      </c>
      <c r="AK63" s="88" t="n">
        <f aca="false">1720/1.2/5</f>
        <v>286.67</v>
      </c>
      <c r="AL63" s="89" t="n">
        <f aca="false">AK63*F63</f>
        <v>17200.2</v>
      </c>
      <c r="AM63" s="91" t="n">
        <f aca="false">AVERAGE(AE63,AH63,AK63)</f>
        <v>293.22</v>
      </c>
      <c r="AN63" s="91" t="n">
        <f aca="false">((G63-AM63)/AM63)*100</f>
        <v>-0.3</v>
      </c>
      <c r="AO63" s="92" t="n">
        <f aca="false">AM63/1.2</f>
        <v>244.35</v>
      </c>
      <c r="AP63" s="92" t="n">
        <f aca="false">AM63*1.2</f>
        <v>351.86</v>
      </c>
      <c r="AQ63" s="86" t="n">
        <f aca="false">AND((AE63)&gt;=MIN(AO63),(AE63)&lt;=MAX(AP63))</f>
        <v>1</v>
      </c>
      <c r="AR63" s="86" t="n">
        <f aca="false">AND((AH63)&gt;=MIN(AO63),(AH63)&lt;=MAX(AP63))</f>
        <v>1</v>
      </c>
      <c r="AS63" s="86" t="n">
        <f aca="false">AND((AK63)&gt;=MIN(AO63),(AK63)&lt;=MAX(AP63))</f>
        <v>1</v>
      </c>
    </row>
    <row r="64" s="38" customFormat="true" ht="104.25" hidden="false" customHeight="true" outlineLevel="0" collapsed="false">
      <c r="A64" s="28" t="n">
        <v>57</v>
      </c>
      <c r="B64" s="102"/>
      <c r="C64" s="220"/>
      <c r="D64" s="43" t="s">
        <v>228</v>
      </c>
      <c r="E64" s="44" t="s">
        <v>64</v>
      </c>
      <c r="F64" s="45" t="n">
        <v>42.5</v>
      </c>
      <c r="G64" s="32" t="n">
        <f aca="false">Q64</f>
        <v>325.33</v>
      </c>
      <c r="H64" s="42" t="s">
        <v>229</v>
      </c>
      <c r="I64" s="34" t="n">
        <f aca="false">1866.75/5/1.2</f>
        <v>311.13</v>
      </c>
      <c r="J64" s="34" t="n">
        <f aca="false">F64*I64</f>
        <v>13223.03</v>
      </c>
      <c r="K64" s="42" t="s">
        <v>230</v>
      </c>
      <c r="L64" s="34" t="n">
        <f aca="false">1990/5/1.2</f>
        <v>331.67</v>
      </c>
      <c r="M64" s="34" t="n">
        <f aca="false">F64*L64</f>
        <v>14095.98</v>
      </c>
      <c r="N64" s="42" t="s">
        <v>231</v>
      </c>
      <c r="O64" s="34" t="n">
        <f aca="false">1999.2/5/1.2</f>
        <v>333.2</v>
      </c>
      <c r="P64" s="34" t="n">
        <f aca="false">F64*O64</f>
        <v>14161</v>
      </c>
      <c r="Q64" s="35" t="n">
        <f aca="false">AVERAGE(I64,L64,O64)</f>
        <v>325.33</v>
      </c>
      <c r="R64" s="36" t="n">
        <f aca="false">G64*100/Q64-100</f>
        <v>0</v>
      </c>
      <c r="S64" s="35" t="n">
        <f aca="false">Q64*F64</f>
        <v>13826.53</v>
      </c>
      <c r="T64" s="37"/>
      <c r="V64" s="39" t="n">
        <f aca="false">ROUND(I64*100/Q64-100,0)</f>
        <v>-4</v>
      </c>
      <c r="W64" s="39" t="n">
        <f aca="false">ROUND(L64*100/Q64-100,0)</f>
        <v>2</v>
      </c>
      <c r="X64" s="39" t="n">
        <f aca="false">ROUND(O64*100/Q64-100,0)</f>
        <v>2</v>
      </c>
      <c r="Y64" s="85" t="n">
        <f aca="false">Q64/1.2</f>
        <v>271.11</v>
      </c>
      <c r="Z64" s="85" t="n">
        <f aca="false">Q64*1.2</f>
        <v>390.4</v>
      </c>
      <c r="AA64" s="86" t="n">
        <f aca="false">AND((I64)&gt;=MIN(Y64),(I64)&lt;=MAX(Z64))</f>
        <v>1</v>
      </c>
      <c r="AB64" s="86" t="n">
        <f aca="false">AND((L64)&gt;=MIN(Y64),(L64)&lt;=MAX(Z64))</f>
        <v>1</v>
      </c>
      <c r="AC64" s="86" t="n">
        <f aca="false">AND((O64)&gt;=MIN(Y64),(O64)&lt;=MAX(Z64))</f>
        <v>1</v>
      </c>
      <c r="AD64" s="95" t="s">
        <v>821</v>
      </c>
      <c r="AE64" s="88" t="n">
        <f aca="false">16835/50/1.2</f>
        <v>280.58</v>
      </c>
      <c r="AF64" s="88" t="n">
        <f aca="false">AE64*F64</f>
        <v>11924.65</v>
      </c>
      <c r="AG64" s="95" t="s">
        <v>822</v>
      </c>
      <c r="AH64" s="88" t="n">
        <f aca="false">17413/50/1.2</f>
        <v>290.22</v>
      </c>
      <c r="AI64" s="89" t="n">
        <f aca="false">AH64*F64</f>
        <v>12334.35</v>
      </c>
      <c r="AJ64" s="95" t="s">
        <v>823</v>
      </c>
      <c r="AK64" s="88" t="n">
        <f aca="false">16727/1.2/50</f>
        <v>278.78</v>
      </c>
      <c r="AL64" s="89" t="n">
        <f aca="false">AK64*F64</f>
        <v>11848.15</v>
      </c>
      <c r="AM64" s="91" t="n">
        <f aca="false">AVERAGE(AE64,AH64,AK64)</f>
        <v>283.19</v>
      </c>
      <c r="AN64" s="91" t="n">
        <f aca="false">((G64-AM64)/AM64)*100</f>
        <v>14.88</v>
      </c>
      <c r="AO64" s="92" t="n">
        <f aca="false">AM64/1.2</f>
        <v>235.99</v>
      </c>
      <c r="AP64" s="92" t="n">
        <f aca="false">AM64*1.2</f>
        <v>339.83</v>
      </c>
      <c r="AQ64" s="86" t="n">
        <f aca="false">AND((AE64)&gt;=MIN(AO64),(AE64)&lt;=MAX(AP64))</f>
        <v>1</v>
      </c>
      <c r="AR64" s="86" t="n">
        <f aca="false">AND((AH64)&gt;=MIN(AO64),(AH64)&lt;=MAX(AP64))</f>
        <v>1</v>
      </c>
      <c r="AS64" s="86" t="n">
        <f aca="false">AND((AK64)&gt;=MIN(AO64),(AK64)&lt;=MAX(AP64))</f>
        <v>1</v>
      </c>
    </row>
    <row r="65" s="38" customFormat="true" ht="104.25" hidden="false" customHeight="true" outlineLevel="0" collapsed="false">
      <c r="A65" s="221" t="n">
        <v>58</v>
      </c>
      <c r="B65" s="104" t="s">
        <v>824</v>
      </c>
      <c r="C65" s="215"/>
      <c r="D65" s="43" t="s">
        <v>1151</v>
      </c>
      <c r="E65" s="44" t="s">
        <v>143</v>
      </c>
      <c r="F65" s="45" t="n">
        <v>3</v>
      </c>
      <c r="G65" s="32" t="n">
        <f aca="false">Q65</f>
        <v>836.73</v>
      </c>
      <c r="H65" s="42" t="s">
        <v>233</v>
      </c>
      <c r="I65" s="47" t="n">
        <f aca="false">984.43/1.2</f>
        <v>820.36</v>
      </c>
      <c r="J65" s="47" t="n">
        <f aca="false">F65*I65</f>
        <v>2461.08</v>
      </c>
      <c r="K65" s="42" t="s">
        <v>234</v>
      </c>
      <c r="L65" s="47" t="n">
        <f aca="false">1036/1.2</f>
        <v>863.33</v>
      </c>
      <c r="M65" s="47" t="n">
        <f aca="false">F65*L65</f>
        <v>2589.99</v>
      </c>
      <c r="N65" s="42" t="s">
        <v>235</v>
      </c>
      <c r="O65" s="47" t="n">
        <f aca="false">991.8/1.2</f>
        <v>826.5</v>
      </c>
      <c r="P65" s="47" t="n">
        <f aca="false">F65*O65</f>
        <v>2479.5</v>
      </c>
      <c r="Q65" s="48" t="n">
        <f aca="false">AVERAGE(I65,L65,O65)</f>
        <v>836.73</v>
      </c>
      <c r="R65" s="36" t="n">
        <f aca="false">G65*100/Q65-100</f>
        <v>0</v>
      </c>
      <c r="S65" s="35" t="n">
        <f aca="false">Q65*F65</f>
        <v>2510.19</v>
      </c>
      <c r="T65" s="37"/>
      <c r="V65" s="39" t="n">
        <f aca="false">ROUND(I65*100/Q65-100,0)</f>
        <v>-2</v>
      </c>
      <c r="W65" s="39" t="n">
        <f aca="false">ROUND(L65*100/Q65-100,0)</f>
        <v>3</v>
      </c>
      <c r="X65" s="39" t="n">
        <f aca="false">ROUND(O65*100/Q65-100,0)</f>
        <v>-1</v>
      </c>
      <c r="Y65" s="85" t="n">
        <f aca="false">Q65/1.2</f>
        <v>697.28</v>
      </c>
      <c r="Z65" s="85" t="n">
        <f aca="false">Q65*1.2</f>
        <v>1004.08</v>
      </c>
      <c r="AA65" s="86" t="n">
        <f aca="false">AND((I65)&gt;=MIN(Y65),(I65)&lt;=MAX(Z65))</f>
        <v>1</v>
      </c>
      <c r="AB65" s="86" t="n">
        <f aca="false">AND((L65)&gt;=MIN(Y65),(L65)&lt;=MAX(Z65))</f>
        <v>1</v>
      </c>
      <c r="AC65" s="86" t="n">
        <f aca="false">AND((O65)&gt;=MIN(Y65),(O65)&lt;=MAX(Z65))</f>
        <v>1</v>
      </c>
      <c r="AD65" s="95" t="s">
        <v>825</v>
      </c>
      <c r="AE65" s="88" t="n">
        <f aca="false">1413/1.2</f>
        <v>1177.5</v>
      </c>
      <c r="AF65" s="88" t="n">
        <f aca="false">AE65*F65</f>
        <v>3532.5</v>
      </c>
      <c r="AG65" s="95" t="s">
        <v>826</v>
      </c>
      <c r="AH65" s="88" t="n">
        <f aca="false">1473.42/1.2</f>
        <v>1227.85</v>
      </c>
      <c r="AI65" s="89" t="n">
        <f aca="false">AH65*F65</f>
        <v>3683.55</v>
      </c>
      <c r="AJ65" s="95" t="s">
        <v>827</v>
      </c>
      <c r="AK65" s="88" t="n">
        <f aca="false">1510/1.2</f>
        <v>1258.33</v>
      </c>
      <c r="AL65" s="89" t="n">
        <f aca="false">AK65*F65</f>
        <v>3774.99</v>
      </c>
      <c r="AM65" s="91" t="n">
        <f aca="false">AVERAGE(AE65,AH65,AK65)</f>
        <v>1221.23</v>
      </c>
      <c r="AN65" s="91" t="n">
        <f aca="false">((G65-AM65)/AM65)*100</f>
        <v>-31.48</v>
      </c>
      <c r="AO65" s="92" t="n">
        <f aca="false">AM65/1.2</f>
        <v>1017.69</v>
      </c>
      <c r="AP65" s="92" t="n">
        <f aca="false">AM65*1.2</f>
        <v>1465.48</v>
      </c>
      <c r="AQ65" s="86" t="n">
        <f aca="false">AND((AE65)&gt;=MIN(AO65),(AE65)&lt;=MAX(AP65))</f>
        <v>1</v>
      </c>
      <c r="AR65" s="86" t="n">
        <f aca="false">AND((AH65)&gt;=MIN(AO65),(AH65)&lt;=MAX(AP65))</f>
        <v>1</v>
      </c>
      <c r="AS65" s="86" t="n">
        <f aca="false">AND((AK65)&gt;=MIN(AO65),(AK65)&lt;=MAX(AP65))</f>
        <v>1</v>
      </c>
    </row>
    <row r="66" s="38" customFormat="true" ht="104.25" hidden="false" customHeight="true" outlineLevel="0" collapsed="false">
      <c r="A66" s="221" t="n">
        <v>59</v>
      </c>
      <c r="B66" s="102"/>
      <c r="C66" s="220"/>
      <c r="D66" s="43" t="s">
        <v>236</v>
      </c>
      <c r="E66" s="44" t="s">
        <v>143</v>
      </c>
      <c r="F66" s="45" t="n">
        <v>3</v>
      </c>
      <c r="G66" s="32" t="n">
        <f aca="false">Q66</f>
        <v>1167.63</v>
      </c>
      <c r="H66" s="33" t="s">
        <v>237</v>
      </c>
      <c r="I66" s="47" t="n">
        <f aca="false">1566/1.2</f>
        <v>1305</v>
      </c>
      <c r="J66" s="47" t="n">
        <f aca="false">F66*I66</f>
        <v>3915</v>
      </c>
      <c r="K66" s="33" t="s">
        <v>238</v>
      </c>
      <c r="L66" s="47" t="n">
        <f aca="false">1331.46/1.2</f>
        <v>1109.55</v>
      </c>
      <c r="M66" s="47" t="n">
        <f aca="false">F66*L66</f>
        <v>3328.65</v>
      </c>
      <c r="N66" s="33" t="s">
        <v>239</v>
      </c>
      <c r="O66" s="47" t="n">
        <f aca="false">1306/1.2</f>
        <v>1088.33</v>
      </c>
      <c r="P66" s="47" t="n">
        <f aca="false">F66*O66</f>
        <v>3264.99</v>
      </c>
      <c r="Q66" s="48" t="n">
        <f aca="false">AVERAGE(I66,L66,O66)</f>
        <v>1167.63</v>
      </c>
      <c r="R66" s="36" t="n">
        <f aca="false">G66*100/Q66-100</f>
        <v>0</v>
      </c>
      <c r="S66" s="35" t="n">
        <f aca="false">Q66*F66</f>
        <v>3502.89</v>
      </c>
      <c r="T66" s="37"/>
      <c r="V66" s="39" t="n">
        <f aca="false">ROUND(I66*100/Q66-100,0)</f>
        <v>12</v>
      </c>
      <c r="W66" s="39" t="n">
        <f aca="false">ROUND(L66*100/Q66-100,0)</f>
        <v>-5</v>
      </c>
      <c r="X66" s="39" t="n">
        <f aca="false">ROUND(O66*100/Q66-100,0)</f>
        <v>-7</v>
      </c>
      <c r="Y66" s="85" t="n">
        <f aca="false">Q66/1.2</f>
        <v>973.03</v>
      </c>
      <c r="Z66" s="85" t="n">
        <f aca="false">Q66*1.2</f>
        <v>1401.16</v>
      </c>
      <c r="AA66" s="86" t="n">
        <f aca="false">AND((I66)&gt;=MIN(Y66),(I66)&lt;=MAX(Z66))</f>
        <v>1</v>
      </c>
      <c r="AB66" s="86" t="n">
        <f aca="false">AND((L66)&gt;=MIN(Y66),(L66)&lt;=MAX(Z66))</f>
        <v>1</v>
      </c>
      <c r="AC66" s="86" t="n">
        <f aca="false">AND((O66)&gt;=MIN(Y66),(O66)&lt;=MAX(Z66))</f>
        <v>1</v>
      </c>
      <c r="AD66" s="95" t="s">
        <v>828</v>
      </c>
      <c r="AE66" s="88" t="n">
        <f aca="false">1271/1.2</f>
        <v>1059.17</v>
      </c>
      <c r="AF66" s="88" t="n">
        <f aca="false">AE66*F66</f>
        <v>3177.51</v>
      </c>
      <c r="AG66" s="95" t="s">
        <v>829</v>
      </c>
      <c r="AH66" s="88" t="n">
        <f aca="false">1447.37/1.2</f>
        <v>1206.14</v>
      </c>
      <c r="AI66" s="89" t="n">
        <f aca="false">AH66*F66</f>
        <v>3618.42</v>
      </c>
      <c r="AJ66" s="95" t="s">
        <v>830</v>
      </c>
      <c r="AK66" s="88" t="n">
        <f aca="false">1490/1.2</f>
        <v>1241.67</v>
      </c>
      <c r="AL66" s="89" t="n">
        <f aca="false">AK66*F66</f>
        <v>3725.01</v>
      </c>
      <c r="AM66" s="91" t="n">
        <f aca="false">AVERAGE(AE66,AH66,AK66)</f>
        <v>1168.99</v>
      </c>
      <c r="AN66" s="91" t="n">
        <f aca="false">((G66-AM66)/AM66)*100</f>
        <v>-0.12</v>
      </c>
      <c r="AO66" s="92" t="n">
        <f aca="false">AM66/1.2</f>
        <v>974.16</v>
      </c>
      <c r="AP66" s="92" t="n">
        <f aca="false">AM66*1.2</f>
        <v>1402.79</v>
      </c>
      <c r="AQ66" s="86" t="n">
        <f aca="false">AND((AE66)&gt;=MIN(AO66),(AE66)&lt;=MAX(AP66))</f>
        <v>1</v>
      </c>
      <c r="AR66" s="86" t="n">
        <f aca="false">AND((AH66)&gt;=MIN(AO66),(AH66)&lt;=MAX(AP66))</f>
        <v>1</v>
      </c>
      <c r="AS66" s="86" t="n">
        <f aca="false">AND((AK66)&gt;=MIN(AO66),(AK66)&lt;=MAX(AP66))</f>
        <v>1</v>
      </c>
    </row>
    <row r="67" s="38" customFormat="true" ht="104.25" hidden="false" customHeight="true" outlineLevel="0" collapsed="false">
      <c r="A67" s="28" t="n">
        <v>60</v>
      </c>
      <c r="B67" s="104" t="s">
        <v>831</v>
      </c>
      <c r="C67" s="215"/>
      <c r="D67" s="43" t="s">
        <v>1152</v>
      </c>
      <c r="E67" s="44" t="s">
        <v>143</v>
      </c>
      <c r="F67" s="45" t="n">
        <v>6</v>
      </c>
      <c r="G67" s="32" t="n">
        <f aca="false">Q67</f>
        <v>3629.28</v>
      </c>
      <c r="H67" s="95" t="s">
        <v>241</v>
      </c>
      <c r="I67" s="47" t="n">
        <f aca="false">4248/1.2*1.05</f>
        <v>3717</v>
      </c>
      <c r="J67" s="47" t="n">
        <f aca="false">F67*I67</f>
        <v>22302</v>
      </c>
      <c r="K67" s="106" t="s">
        <v>242</v>
      </c>
      <c r="L67" s="47" t="n">
        <f aca="false">4240/1.2</f>
        <v>3533.33</v>
      </c>
      <c r="M67" s="47" t="n">
        <f aca="false">F67*L67</f>
        <v>21199.98</v>
      </c>
      <c r="N67" s="106" t="s">
        <v>243</v>
      </c>
      <c r="O67" s="47" t="n">
        <f aca="false">4365/1.2</f>
        <v>3637.5</v>
      </c>
      <c r="P67" s="47" t="n">
        <f aca="false">F67*O67</f>
        <v>21825</v>
      </c>
      <c r="Q67" s="48" t="n">
        <f aca="false">AVERAGE(I67,L67,O67)</f>
        <v>3629.28</v>
      </c>
      <c r="R67" s="36" t="n">
        <f aca="false">G67*100/Q67-100</f>
        <v>0</v>
      </c>
      <c r="S67" s="35" t="n">
        <f aca="false">Q67*F67</f>
        <v>21775.68</v>
      </c>
      <c r="T67" s="37" t="s">
        <v>244</v>
      </c>
      <c r="V67" s="39" t="n">
        <f aca="false">ROUND(I67*100/Q67-100,0)</f>
        <v>2</v>
      </c>
      <c r="W67" s="39" t="n">
        <f aca="false">ROUND(L67*100/Q67-100,0)</f>
        <v>-3</v>
      </c>
      <c r="X67" s="39" t="n">
        <f aca="false">ROUND(O67*100/Q67-100,0)</f>
        <v>0</v>
      </c>
      <c r="Y67" s="85" t="n">
        <f aca="false">Q67/1.2</f>
        <v>3024.4</v>
      </c>
      <c r="Z67" s="85" t="n">
        <f aca="false">Q67*1.2</f>
        <v>4355.14</v>
      </c>
      <c r="AA67" s="86" t="n">
        <f aca="false">AND((I67)&gt;=MIN(Y67),(I67)&lt;=MAX(Z67))</f>
        <v>1</v>
      </c>
      <c r="AB67" s="86" t="n">
        <f aca="false">AND((L67)&gt;=MIN(Y67),(L67)&lt;=MAX(Z67))</f>
        <v>1</v>
      </c>
      <c r="AC67" s="86" t="n">
        <f aca="false">AND((O67)&gt;=MIN(Y67),(O67)&lt;=MAX(Z67))</f>
        <v>1</v>
      </c>
      <c r="AD67" s="95" t="s">
        <v>832</v>
      </c>
      <c r="AE67" s="88" t="n">
        <f aca="false">6985.94/2/1.2</f>
        <v>2910.81</v>
      </c>
      <c r="AF67" s="88" t="n">
        <f aca="false">AE67*F67</f>
        <v>17464.86</v>
      </c>
      <c r="AG67" s="95" t="s">
        <v>833</v>
      </c>
      <c r="AH67" s="88" t="n">
        <f aca="false">6550.58/2/1.2</f>
        <v>2729.41</v>
      </c>
      <c r="AI67" s="89" t="n">
        <f aca="false">AH67*F67</f>
        <v>16376.46</v>
      </c>
      <c r="AJ67" s="95" t="s">
        <v>834</v>
      </c>
      <c r="AK67" s="88" t="n">
        <f aca="false">8795/2/1.2</f>
        <v>3664.58</v>
      </c>
      <c r="AL67" s="89" t="n">
        <f aca="false">AK67*F67</f>
        <v>21987.48</v>
      </c>
      <c r="AM67" s="91" t="n">
        <f aca="false">AVERAGE(AE67,AH67,AK67)</f>
        <v>3101.6</v>
      </c>
      <c r="AN67" s="91" t="n">
        <f aca="false">((G67-AM67)/AM67)*100</f>
        <v>17.01</v>
      </c>
      <c r="AO67" s="92" t="n">
        <f aca="false">AM67/1.2</f>
        <v>2584.67</v>
      </c>
      <c r="AP67" s="92" t="n">
        <f aca="false">AM67*1.2</f>
        <v>3721.92</v>
      </c>
      <c r="AQ67" s="86" t="n">
        <f aca="false">AND((AE67)&gt;=MIN(AO67),(AE67)&lt;=MAX(AP67))</f>
        <v>1</v>
      </c>
      <c r="AR67" s="86" t="n">
        <f aca="false">AND((AH67)&gt;=MIN(AO67),(AH67)&lt;=MAX(AP67))</f>
        <v>1</v>
      </c>
      <c r="AS67" s="86" t="n">
        <f aca="false">AND((AK67)&gt;=MIN(AO67),(AK67)&lt;=MAX(AP67))</f>
        <v>1</v>
      </c>
    </row>
    <row r="68" s="38" customFormat="true" ht="104.25" hidden="false" customHeight="true" outlineLevel="0" collapsed="false">
      <c r="A68" s="28" t="n">
        <v>61</v>
      </c>
      <c r="B68" s="102"/>
      <c r="C68" s="220"/>
      <c r="D68" s="43" t="s">
        <v>245</v>
      </c>
      <c r="E68" s="44" t="s">
        <v>143</v>
      </c>
      <c r="F68" s="45" t="n">
        <v>2</v>
      </c>
      <c r="G68" s="32" t="n">
        <f aca="false">Q68</f>
        <v>753.89</v>
      </c>
      <c r="H68" s="42" t="s">
        <v>246</v>
      </c>
      <c r="I68" s="34" t="n">
        <f aca="false">925/1.2</f>
        <v>770.83</v>
      </c>
      <c r="J68" s="34" t="n">
        <f aca="false">F68*I68</f>
        <v>1541.66</v>
      </c>
      <c r="K68" s="42" t="s">
        <v>247</v>
      </c>
      <c r="L68" s="34" t="n">
        <f aca="false">880/1.2</f>
        <v>733.33</v>
      </c>
      <c r="M68" s="34" t="n">
        <f aca="false">F68*L68</f>
        <v>1466.66</v>
      </c>
      <c r="N68" s="42" t="s">
        <v>248</v>
      </c>
      <c r="O68" s="34" t="n">
        <f aca="false">909/1.2</f>
        <v>757.5</v>
      </c>
      <c r="P68" s="34" t="n">
        <f aca="false">F68*O68</f>
        <v>1515</v>
      </c>
      <c r="Q68" s="35" t="n">
        <f aca="false">AVERAGE(I68,L68,O68)</f>
        <v>753.89</v>
      </c>
      <c r="R68" s="36" t="n">
        <f aca="false">G68*100/Q68-100</f>
        <v>0</v>
      </c>
      <c r="S68" s="35" t="n">
        <f aca="false">Q68*F68</f>
        <v>1507.78</v>
      </c>
      <c r="T68" s="37"/>
      <c r="V68" s="39" t="n">
        <f aca="false">ROUND(I68*100/Q68-100,0)</f>
        <v>2</v>
      </c>
      <c r="W68" s="39" t="n">
        <f aca="false">ROUND(L68*100/Q68-100,0)</f>
        <v>-3</v>
      </c>
      <c r="X68" s="39" t="n">
        <f aca="false">ROUND(O68*100/Q68-100,0)</f>
        <v>0</v>
      </c>
      <c r="Y68" s="85" t="n">
        <f aca="false">Q68/1.2</f>
        <v>628.24</v>
      </c>
      <c r="Z68" s="85" t="n">
        <f aca="false">Q68*1.2</f>
        <v>904.67</v>
      </c>
      <c r="AA68" s="86" t="n">
        <f aca="false">AND((I68)&gt;=MIN(Y68),(I68)&lt;=MAX(Z68))</f>
        <v>1</v>
      </c>
      <c r="AB68" s="86" t="n">
        <f aca="false">AND((L68)&gt;=MIN(Y68),(L68)&lt;=MAX(Z68))</f>
        <v>1</v>
      </c>
      <c r="AC68" s="86" t="n">
        <f aca="false">AND((O68)&gt;=MIN(Y68),(O68)&lt;=MAX(Z68))</f>
        <v>1</v>
      </c>
      <c r="AD68" s="95" t="s">
        <v>835</v>
      </c>
      <c r="AE68" s="88" t="n">
        <f aca="false">1130/1.2</f>
        <v>941.67</v>
      </c>
      <c r="AF68" s="88" t="n">
        <f aca="false">AE68*F68</f>
        <v>1883.34</v>
      </c>
      <c r="AG68" s="95" t="s">
        <v>836</v>
      </c>
      <c r="AH68" s="88" t="n">
        <f aca="false">925/1.2</f>
        <v>770.83</v>
      </c>
      <c r="AI68" s="89" t="n">
        <f aca="false">AH68*F68</f>
        <v>1541.66</v>
      </c>
      <c r="AJ68" s="95" t="s">
        <v>837</v>
      </c>
      <c r="AK68" s="88" t="n">
        <f aca="false">896/1.2</f>
        <v>746.67</v>
      </c>
      <c r="AL68" s="89" t="n">
        <f aca="false">AK68*F68</f>
        <v>1493.34</v>
      </c>
      <c r="AM68" s="91" t="n">
        <f aca="false">AVERAGE(AE68,AH68,AK68)</f>
        <v>819.72</v>
      </c>
      <c r="AN68" s="91" t="n">
        <f aca="false">((G68-AM68)/AM68)*100</f>
        <v>-8.03</v>
      </c>
      <c r="AO68" s="92" t="n">
        <f aca="false">AM68/1.2</f>
        <v>683.1</v>
      </c>
      <c r="AP68" s="92" t="n">
        <f aca="false">AM68*1.2</f>
        <v>983.66</v>
      </c>
      <c r="AQ68" s="86" t="n">
        <f aca="false">AND((AE68)&gt;=MIN(AO68),(AE68)&lt;=MAX(AP68))</f>
        <v>1</v>
      </c>
      <c r="AR68" s="86" t="n">
        <f aca="false">AND((AH68)&gt;=MIN(AO68),(AH68)&lt;=MAX(AP68))</f>
        <v>1</v>
      </c>
      <c r="AS68" s="86" t="n">
        <f aca="false">AND((AK68)&gt;=MIN(AO68),(AK68)&lt;=MAX(AP68))</f>
        <v>1</v>
      </c>
    </row>
    <row r="69" s="38" customFormat="true" ht="104.25" hidden="false" customHeight="true" outlineLevel="0" collapsed="false">
      <c r="A69" s="28" t="n">
        <v>62</v>
      </c>
      <c r="B69" s="102"/>
      <c r="C69" s="220"/>
      <c r="D69" s="43" t="s">
        <v>249</v>
      </c>
      <c r="E69" s="44" t="s">
        <v>143</v>
      </c>
      <c r="F69" s="45" t="n">
        <v>1</v>
      </c>
      <c r="G69" s="32" t="n">
        <f aca="false">Q69</f>
        <v>1187.78</v>
      </c>
      <c r="H69" s="42" t="s">
        <v>250</v>
      </c>
      <c r="I69" s="34" t="n">
        <f aca="false">1586/1.2</f>
        <v>1321.67</v>
      </c>
      <c r="J69" s="34" t="n">
        <f aca="false">F69*I69</f>
        <v>1321.67</v>
      </c>
      <c r="K69" s="42" t="s">
        <v>251</v>
      </c>
      <c r="L69" s="34" t="n">
        <f aca="false">1453/1.2</f>
        <v>1210.83</v>
      </c>
      <c r="M69" s="34" t="n">
        <f aca="false">F69*L69</f>
        <v>1210.83</v>
      </c>
      <c r="N69" s="42" t="s">
        <v>252</v>
      </c>
      <c r="O69" s="34" t="n">
        <f aca="false">1237/1.2</f>
        <v>1030.83</v>
      </c>
      <c r="P69" s="34" t="n">
        <f aca="false">F69*O69</f>
        <v>1030.83</v>
      </c>
      <c r="Q69" s="35" t="n">
        <f aca="false">AVERAGE(I69,L69,O69)</f>
        <v>1187.78</v>
      </c>
      <c r="R69" s="36" t="n">
        <f aca="false">G69*100/Q69-100</f>
        <v>0</v>
      </c>
      <c r="S69" s="35" t="n">
        <f aca="false">Q69*F69</f>
        <v>1187.78</v>
      </c>
      <c r="T69" s="37"/>
      <c r="V69" s="39" t="n">
        <f aca="false">ROUND(I69*100/Q69-100,0)</f>
        <v>11</v>
      </c>
      <c r="W69" s="39" t="n">
        <f aca="false">ROUND(L69*100/Q69-100,0)</f>
        <v>2</v>
      </c>
      <c r="X69" s="39" t="n">
        <f aca="false">ROUND(O69*100/Q69-100,0)</f>
        <v>-13</v>
      </c>
      <c r="Y69" s="85" t="n">
        <f aca="false">Q69/1.2</f>
        <v>989.82</v>
      </c>
      <c r="Z69" s="85" t="n">
        <f aca="false">Q69*1.2</f>
        <v>1425.34</v>
      </c>
      <c r="AA69" s="86" t="n">
        <f aca="false">AND((I69)&gt;=MIN(Y69),(I69)&lt;=MAX(Z69))</f>
        <v>1</v>
      </c>
      <c r="AB69" s="86" t="n">
        <f aca="false">AND((L69)&gt;=MIN(Y69),(L69)&lt;=MAX(Z69))</f>
        <v>1</v>
      </c>
      <c r="AC69" s="86" t="n">
        <f aca="false">AND((O69)&gt;=MIN(Y69),(O69)&lt;=MAX(Z69))</f>
        <v>1</v>
      </c>
      <c r="AD69" s="95" t="s">
        <v>838</v>
      </c>
      <c r="AE69" s="88" t="n">
        <f aca="false">1586/1.2</f>
        <v>1321.67</v>
      </c>
      <c r="AF69" s="88" t="n">
        <f aca="false">AE69*F69</f>
        <v>1321.67</v>
      </c>
      <c r="AG69" s="95" t="s">
        <v>839</v>
      </c>
      <c r="AH69" s="88" t="n">
        <f aca="false">1784.8/1.2</f>
        <v>1487.33</v>
      </c>
      <c r="AI69" s="89" t="n">
        <f aca="false">AH69*F69</f>
        <v>1487.33</v>
      </c>
      <c r="AJ69" s="95" t="s">
        <v>840</v>
      </c>
      <c r="AK69" s="88" t="n">
        <f aca="false">1586.45/1.2</f>
        <v>1322.04</v>
      </c>
      <c r="AL69" s="89" t="n">
        <f aca="false">AK69*F69</f>
        <v>1322.04</v>
      </c>
      <c r="AM69" s="91" t="n">
        <f aca="false">AVERAGE(AE69,AH69,AK69)</f>
        <v>1377.01</v>
      </c>
      <c r="AN69" s="91" t="n">
        <f aca="false">((G69-AM69)/AM69)*100</f>
        <v>-13.74</v>
      </c>
      <c r="AO69" s="92" t="n">
        <f aca="false">AM69/1.2</f>
        <v>1147.51</v>
      </c>
      <c r="AP69" s="92" t="n">
        <f aca="false">AM69*1.2</f>
        <v>1652.41</v>
      </c>
      <c r="AQ69" s="86" t="n">
        <f aca="false">AND((AE69)&gt;=MIN(AO69),(AE69)&lt;=MAX(AP69))</f>
        <v>1</v>
      </c>
      <c r="AR69" s="86" t="n">
        <f aca="false">AND((AH69)&gt;=MIN(AO69),(AH69)&lt;=MAX(AP69))</f>
        <v>1</v>
      </c>
      <c r="AS69" s="86" t="n">
        <f aca="false">AND((AK69)&gt;=MIN(AO69),(AK69)&lt;=MAX(AP69))</f>
        <v>1</v>
      </c>
    </row>
    <row r="70" s="38" customFormat="true" ht="104.25" hidden="false" customHeight="true" outlineLevel="0" collapsed="false">
      <c r="A70" s="28" t="n">
        <v>63</v>
      </c>
      <c r="B70" s="102"/>
      <c r="C70" s="220"/>
      <c r="D70" s="43" t="s">
        <v>253</v>
      </c>
      <c r="E70" s="44" t="s">
        <v>143</v>
      </c>
      <c r="F70" s="45" t="n">
        <v>4</v>
      </c>
      <c r="G70" s="32" t="n">
        <f aca="false">Q70</f>
        <v>439.86</v>
      </c>
      <c r="H70" s="95" t="s">
        <v>254</v>
      </c>
      <c r="I70" s="34" t="n">
        <f aca="false">1047/2/1.2</f>
        <v>436.25</v>
      </c>
      <c r="J70" s="34" t="n">
        <f aca="false">F70*I70</f>
        <v>1745</v>
      </c>
      <c r="K70" s="106" t="s">
        <v>255</v>
      </c>
      <c r="L70" s="34" t="n">
        <f aca="false">558/1.2</f>
        <v>465</v>
      </c>
      <c r="M70" s="34" t="n">
        <f aca="false">F70*L70</f>
        <v>1860</v>
      </c>
      <c r="N70" s="106" t="s">
        <v>256</v>
      </c>
      <c r="O70" s="34" t="n">
        <f aca="false">502/1.2</f>
        <v>418.33</v>
      </c>
      <c r="P70" s="34" t="n">
        <f aca="false">F70*O70</f>
        <v>1673.32</v>
      </c>
      <c r="Q70" s="35" t="n">
        <f aca="false">AVERAGE(I70,L70,O70)</f>
        <v>439.86</v>
      </c>
      <c r="R70" s="36" t="n">
        <f aca="false">G70*100/Q70-100</f>
        <v>0</v>
      </c>
      <c r="S70" s="35" t="n">
        <f aca="false">Q70*F70</f>
        <v>1759.44</v>
      </c>
      <c r="T70" s="37"/>
      <c r="V70" s="39" t="n">
        <f aca="false">ROUND(I70*100/Q70-100,0)</f>
        <v>-1</v>
      </c>
      <c r="W70" s="39" t="n">
        <f aca="false">ROUND(L70*100/Q70-100,0)</f>
        <v>6</v>
      </c>
      <c r="X70" s="39" t="n">
        <f aca="false">ROUND(O70*100/Q70-100,0)</f>
        <v>-5</v>
      </c>
      <c r="Y70" s="85" t="n">
        <f aca="false">Q70/1.2</f>
        <v>366.55</v>
      </c>
      <c r="Z70" s="85" t="n">
        <f aca="false">Q70*1.2</f>
        <v>527.83</v>
      </c>
      <c r="AA70" s="86" t="n">
        <f aca="false">AND((I70)&gt;=MIN(Y70),(I70)&lt;=MAX(Z70))</f>
        <v>1</v>
      </c>
      <c r="AB70" s="86" t="n">
        <f aca="false">AND((L70)&gt;=MIN(Y70),(L70)&lt;=MAX(Z70))</f>
        <v>1</v>
      </c>
      <c r="AC70" s="86" t="n">
        <f aca="false">AND((O70)&gt;=MIN(Y70),(O70)&lt;=MAX(Z70))</f>
        <v>1</v>
      </c>
      <c r="AD70" s="95" t="s">
        <v>841</v>
      </c>
      <c r="AE70" s="88" t="n">
        <f aca="false">530/1.2</f>
        <v>441.67</v>
      </c>
      <c r="AF70" s="88" t="n">
        <f aca="false">AE70*F70</f>
        <v>1766.68</v>
      </c>
      <c r="AG70" s="95" t="s">
        <v>841</v>
      </c>
      <c r="AH70" s="88" t="n">
        <f aca="false">541/1.2</f>
        <v>450.83</v>
      </c>
      <c r="AI70" s="89" t="n">
        <f aca="false">AH70*F70</f>
        <v>1803.32</v>
      </c>
      <c r="AJ70" s="95" t="s">
        <v>842</v>
      </c>
      <c r="AK70" s="88" t="n">
        <f aca="false">510/1.2</f>
        <v>425</v>
      </c>
      <c r="AL70" s="89" t="n">
        <f aca="false">AK70*F70</f>
        <v>1700</v>
      </c>
      <c r="AM70" s="91" t="n">
        <f aca="false">AVERAGE(AE70,AH70,AK70)</f>
        <v>439.17</v>
      </c>
      <c r="AN70" s="91" t="n">
        <f aca="false">((G70-AM70)/AM70)*100</f>
        <v>0.16</v>
      </c>
      <c r="AO70" s="92" t="n">
        <f aca="false">AM70/1.2</f>
        <v>365.98</v>
      </c>
      <c r="AP70" s="92" t="n">
        <f aca="false">AM70*1.2</f>
        <v>527</v>
      </c>
      <c r="AQ70" s="86" t="n">
        <f aca="false">AND((AE70)&gt;=MIN(AO70),(AE70)&lt;=MAX(AP70))</f>
        <v>1</v>
      </c>
      <c r="AR70" s="86" t="n">
        <f aca="false">AND((AH70)&gt;=MIN(AO70),(AH70)&lt;=MAX(AP70))</f>
        <v>1</v>
      </c>
      <c r="AS70" s="86" t="n">
        <f aca="false">AND((AK70)&gt;=MIN(AO70),(AK70)&lt;=MAX(AP70))</f>
        <v>1</v>
      </c>
    </row>
    <row r="71" s="38" customFormat="true" ht="104.25" hidden="false" customHeight="true" outlineLevel="0" collapsed="false">
      <c r="A71" s="28" t="n">
        <v>64</v>
      </c>
      <c r="B71" s="104" t="s">
        <v>843</v>
      </c>
      <c r="C71" s="223"/>
      <c r="D71" s="43" t="s">
        <v>257</v>
      </c>
      <c r="E71" s="44" t="s">
        <v>143</v>
      </c>
      <c r="F71" s="45" t="n">
        <v>1</v>
      </c>
      <c r="G71" s="32" t="n">
        <f aca="false">Q71</f>
        <v>1334.17</v>
      </c>
      <c r="H71" s="95" t="s">
        <v>258</v>
      </c>
      <c r="I71" s="47" t="n">
        <f aca="false">1633/1.2</f>
        <v>1360.83</v>
      </c>
      <c r="J71" s="47" t="n">
        <f aca="false">F71*I71</f>
        <v>1360.83</v>
      </c>
      <c r="K71" s="42" t="s">
        <v>259</v>
      </c>
      <c r="L71" s="47" t="n">
        <f aca="false">1679/1.2</f>
        <v>1399.17</v>
      </c>
      <c r="M71" s="47" t="n">
        <f aca="false">F71*L71</f>
        <v>1399.17</v>
      </c>
      <c r="N71" s="42" t="s">
        <v>260</v>
      </c>
      <c r="O71" s="47" t="n">
        <f aca="false">1491/1.2</f>
        <v>1242.5</v>
      </c>
      <c r="P71" s="47" t="n">
        <f aca="false">F71*O71</f>
        <v>1242.5</v>
      </c>
      <c r="Q71" s="48" t="n">
        <f aca="false">AVERAGE(I71,L71,O71)</f>
        <v>1334.17</v>
      </c>
      <c r="R71" s="36" t="n">
        <f aca="false">G71*100/Q71-100</f>
        <v>0</v>
      </c>
      <c r="S71" s="35" t="n">
        <f aca="false">Q71*F71</f>
        <v>1334.17</v>
      </c>
      <c r="T71" s="37" t="s">
        <v>261</v>
      </c>
      <c r="V71" s="39" t="n">
        <f aca="false">ROUND(I71*100/Q71-100,0)</f>
        <v>2</v>
      </c>
      <c r="W71" s="39" t="n">
        <f aca="false">ROUND(L71*100/Q71-100,0)</f>
        <v>5</v>
      </c>
      <c r="X71" s="39" t="n">
        <f aca="false">ROUND(O71*100/Q71-100,0)</f>
        <v>-7</v>
      </c>
      <c r="Y71" s="85" t="n">
        <f aca="false">Q71/1.2</f>
        <v>1111.81</v>
      </c>
      <c r="Z71" s="85" t="n">
        <f aca="false">Q71*1.2</f>
        <v>1601</v>
      </c>
      <c r="AA71" s="86" t="n">
        <f aca="false">AND((I71)&gt;=MIN(Y71),(I71)&lt;=MAX(Z71))</f>
        <v>1</v>
      </c>
      <c r="AB71" s="86" t="n">
        <f aca="false">AND((L71)&gt;=MIN(Y71),(L71)&lt;=MAX(Z71))</f>
        <v>1</v>
      </c>
      <c r="AC71" s="86" t="n">
        <f aca="false">AND((O71)&gt;=MIN(Y71),(O71)&lt;=MAX(Z71))</f>
        <v>1</v>
      </c>
      <c r="AD71" s="103" t="s">
        <v>844</v>
      </c>
      <c r="AE71" s="88"/>
      <c r="AF71" s="88" t="n">
        <f aca="false">AE71*F71</f>
        <v>0</v>
      </c>
      <c r="AG71" s="103" t="s">
        <v>844</v>
      </c>
      <c r="AH71" s="88"/>
      <c r="AI71" s="89" t="n">
        <f aca="false">AH71*F71</f>
        <v>0</v>
      </c>
      <c r="AJ71" s="103" t="s">
        <v>844</v>
      </c>
      <c r="AK71" s="88"/>
      <c r="AL71" s="89" t="n">
        <f aca="false">AK71*F71</f>
        <v>0</v>
      </c>
      <c r="AM71" s="91" t="e">
        <f aca="false">AVERAGE(AE71,AH71,AK71)</f>
        <v>#DIV/0!</v>
      </c>
      <c r="AN71" s="91" t="e">
        <f aca="false">((G71-AM71)/AM71)*100</f>
        <v>#DIV/0!</v>
      </c>
      <c r="AO71" s="92" t="e">
        <f aca="false">AM71/1.2</f>
        <v>#DIV/0!</v>
      </c>
      <c r="AP71" s="92" t="e">
        <f aca="false">AM71*1.2</f>
        <v>#DIV/0!</v>
      </c>
      <c r="AQ71" s="86" t="e">
        <f aca="false">AND((AE71)&gt;=MIN(AO71),(AE71)&lt;=MAX(AP71))</f>
        <v>#DIV/0!</v>
      </c>
      <c r="AR71" s="86" t="e">
        <f aca="false">AND((AH71)&gt;=MIN(AO71),(AH71)&lt;=MAX(AP71))</f>
        <v>#DIV/0!</v>
      </c>
      <c r="AS71" s="86" t="e">
        <f aca="false">AND((AK71)&gt;=MIN(AO71),(AK71)&lt;=MAX(AP71))</f>
        <v>#DIV/0!</v>
      </c>
    </row>
    <row r="72" s="38" customFormat="true" ht="104.25" hidden="false" customHeight="true" outlineLevel="0" collapsed="false">
      <c r="A72" s="28" t="n">
        <v>66</v>
      </c>
      <c r="B72" s="104" t="s">
        <v>846</v>
      </c>
      <c r="C72" s="222"/>
      <c r="D72" s="43" t="s">
        <v>266</v>
      </c>
      <c r="E72" s="44" t="s">
        <v>143</v>
      </c>
      <c r="F72" s="45" t="n">
        <v>4</v>
      </c>
      <c r="G72" s="32" t="n">
        <f aca="false">Q72</f>
        <v>3523.74</v>
      </c>
      <c r="H72" s="42" t="s">
        <v>267</v>
      </c>
      <c r="I72" s="47" t="n">
        <f aca="false">3789/1.2*1.05</f>
        <v>3315.38</v>
      </c>
      <c r="J72" s="47" t="n">
        <f aca="false">F72*I72</f>
        <v>13261.52</v>
      </c>
      <c r="K72" s="42" t="s">
        <v>268</v>
      </c>
      <c r="L72" s="47" t="n">
        <f aca="false">4921/1.2</f>
        <v>4100.83</v>
      </c>
      <c r="M72" s="47" t="n">
        <f aca="false">F72*L72</f>
        <v>16403.32</v>
      </c>
      <c r="N72" s="42" t="s">
        <v>269</v>
      </c>
      <c r="O72" s="47" t="n">
        <f aca="false">3786/1.2</f>
        <v>3155</v>
      </c>
      <c r="P72" s="47" t="n">
        <f aca="false">F72*O72</f>
        <v>12620</v>
      </c>
      <c r="Q72" s="35" t="n">
        <f aca="false">AVERAGE(I72,L72,O72)</f>
        <v>3523.74</v>
      </c>
      <c r="R72" s="36" t="n">
        <f aca="false">G72*100/Q72-100</f>
        <v>0</v>
      </c>
      <c r="S72" s="35" t="n">
        <f aca="false">Q72*F72</f>
        <v>14094.96</v>
      </c>
      <c r="T72" s="37"/>
      <c r="V72" s="39" t="n">
        <f aca="false">ROUND(I72*100/Q72-100,0)</f>
        <v>-6</v>
      </c>
      <c r="W72" s="39" t="n">
        <f aca="false">ROUND(L72*100/Q72-100,0)</f>
        <v>16</v>
      </c>
      <c r="X72" s="39" t="n">
        <f aca="false">ROUND(O72*100/Q72-100,0)</f>
        <v>-10</v>
      </c>
      <c r="Y72" s="85" t="n">
        <f aca="false">Q72/1.2</f>
        <v>2936.45</v>
      </c>
      <c r="Z72" s="85" t="n">
        <f aca="false">Q72*1.2</f>
        <v>4228.49</v>
      </c>
      <c r="AA72" s="86" t="n">
        <f aca="false">AND((I72)&gt;=MIN(Y72),(I72)&lt;=MAX(Z72))</f>
        <v>1</v>
      </c>
      <c r="AB72" s="86" t="n">
        <f aca="false">AND((L72)&gt;=MIN(Y72),(L72)&lt;=MAX(Z72))</f>
        <v>1</v>
      </c>
      <c r="AC72" s="86" t="n">
        <f aca="false">AND((O72)&gt;=MIN(Y72),(O72)&lt;=MAX(Z72))</f>
        <v>1</v>
      </c>
      <c r="AD72" s="95" t="s">
        <v>847</v>
      </c>
      <c r="AE72" s="88" t="n">
        <f aca="false">5037/1.2</f>
        <v>4197.5</v>
      </c>
      <c r="AF72" s="88" t="n">
        <f aca="false">AE72*F72</f>
        <v>16790</v>
      </c>
      <c r="AG72" s="95" t="s">
        <v>848</v>
      </c>
      <c r="AH72" s="88" t="n">
        <f aca="false">5037/1.2</f>
        <v>4197.5</v>
      </c>
      <c r="AI72" s="89" t="n">
        <f aca="false">AH72*F72</f>
        <v>16790</v>
      </c>
      <c r="AJ72" s="95" t="s">
        <v>849</v>
      </c>
      <c r="AK72" s="88" t="n">
        <f aca="false">4606.53/1.2</f>
        <v>3838.78</v>
      </c>
      <c r="AL72" s="89" t="n">
        <f aca="false">AK72*F72</f>
        <v>15355.12</v>
      </c>
      <c r="AM72" s="91" t="n">
        <f aca="false">AVERAGE(AE72,AH72,AK72)</f>
        <v>4077.93</v>
      </c>
      <c r="AN72" s="91" t="n">
        <f aca="false">((G72-AM72)/AM72)*100</f>
        <v>-13.59</v>
      </c>
      <c r="AO72" s="92" t="n">
        <f aca="false">AM72/1.2</f>
        <v>3398.28</v>
      </c>
      <c r="AP72" s="92" t="n">
        <f aca="false">AM72*1.2</f>
        <v>4893.52</v>
      </c>
      <c r="AQ72" s="86" t="n">
        <f aca="false">AND((AE72)&gt;=MIN(AO72),(AE72)&lt;=MAX(AP72))</f>
        <v>1</v>
      </c>
      <c r="AR72" s="86" t="n">
        <f aca="false">AND((AH72)&gt;=MIN(AO72),(AH72)&lt;=MAX(AP72))</f>
        <v>1</v>
      </c>
      <c r="AS72" s="86" t="n">
        <f aca="false">AND((AK72)&gt;=MIN(AO72),(AK72)&lt;=MAX(AP72))</f>
        <v>1</v>
      </c>
    </row>
    <row r="73" s="38" customFormat="true" ht="104.25" hidden="false" customHeight="true" outlineLevel="0" collapsed="false">
      <c r="A73" s="28" t="n">
        <v>67</v>
      </c>
      <c r="B73" s="102"/>
      <c r="C73" s="220"/>
      <c r="D73" s="43" t="s">
        <v>270</v>
      </c>
      <c r="E73" s="44" t="s">
        <v>143</v>
      </c>
      <c r="F73" s="45" t="n">
        <v>1</v>
      </c>
      <c r="G73" s="32" t="n">
        <f aca="false">Q73</f>
        <v>3215.83</v>
      </c>
      <c r="H73" s="42" t="s">
        <v>271</v>
      </c>
      <c r="I73" s="34" t="n">
        <f aca="false">3761/1.2</f>
        <v>3134.17</v>
      </c>
      <c r="J73" s="34" t="n">
        <f aca="false">F73*I73</f>
        <v>3134.17</v>
      </c>
      <c r="K73" s="42" t="s">
        <v>272</v>
      </c>
      <c r="L73" s="34" t="n">
        <f aca="false">4030/1.2</f>
        <v>3358.33</v>
      </c>
      <c r="M73" s="34" t="n">
        <f aca="false">F73*L73</f>
        <v>3358.33</v>
      </c>
      <c r="N73" s="42" t="s">
        <v>273</v>
      </c>
      <c r="O73" s="34" t="n">
        <f aca="false">3786/1.2</f>
        <v>3155</v>
      </c>
      <c r="P73" s="34" t="n">
        <f aca="false">F73*O73</f>
        <v>3155</v>
      </c>
      <c r="Q73" s="35" t="n">
        <f aca="false">AVERAGE(I73,L73,O73)</f>
        <v>3215.83</v>
      </c>
      <c r="R73" s="36" t="n">
        <f aca="false">G73*100/Q73-100</f>
        <v>0</v>
      </c>
      <c r="S73" s="35" t="n">
        <f aca="false">Q73*F73</f>
        <v>3215.83</v>
      </c>
      <c r="T73" s="37"/>
      <c r="V73" s="39" t="n">
        <f aca="false">ROUND(I73*100/Q73-100,0)</f>
        <v>-3</v>
      </c>
      <c r="W73" s="39" t="n">
        <f aca="false">ROUND(L73*100/Q73-100,0)</f>
        <v>4</v>
      </c>
      <c r="X73" s="39" t="n">
        <f aca="false">ROUND(O73*100/Q73-100,0)</f>
        <v>-2</v>
      </c>
      <c r="Y73" s="85" t="n">
        <f aca="false">Q73/1.2</f>
        <v>2679.86</v>
      </c>
      <c r="Z73" s="85" t="n">
        <f aca="false">Q73*1.2</f>
        <v>3859</v>
      </c>
      <c r="AA73" s="86" t="n">
        <f aca="false">AND((I73)&gt;=MIN(Y73),(I73)&lt;=MAX(Z73))</f>
        <v>1</v>
      </c>
      <c r="AB73" s="86" t="n">
        <f aca="false">AND((L73)&gt;=MIN(Y73),(L73)&lt;=MAX(Z73))</f>
        <v>1</v>
      </c>
      <c r="AC73" s="86" t="n">
        <f aca="false">AND((O73)&gt;=MIN(Y73),(O73)&lt;=MAX(Z73))</f>
        <v>1</v>
      </c>
      <c r="AD73" s="95" t="s">
        <v>850</v>
      </c>
      <c r="AE73" s="88" t="n">
        <f aca="false">3258/1.2</f>
        <v>2715</v>
      </c>
      <c r="AF73" s="88" t="n">
        <f aca="false">AE73*F73</f>
        <v>2715</v>
      </c>
      <c r="AG73" s="95" t="s">
        <v>851</v>
      </c>
      <c r="AH73" s="88" t="n">
        <f aca="false">3209.73/1.2</f>
        <v>2674.78</v>
      </c>
      <c r="AI73" s="89" t="n">
        <f aca="false">AH73*F73</f>
        <v>2674.78</v>
      </c>
      <c r="AJ73" s="95" t="s">
        <v>852</v>
      </c>
      <c r="AK73" s="88" t="n">
        <f aca="false">3510/1.2</f>
        <v>2925</v>
      </c>
      <c r="AL73" s="89" t="n">
        <f aca="false">AK73*F73</f>
        <v>2925</v>
      </c>
      <c r="AM73" s="91" t="n">
        <f aca="false">AVERAGE(AE73,AH73,AK73)</f>
        <v>2771.59</v>
      </c>
      <c r="AN73" s="91" t="n">
        <f aca="false">((G73-AM73)/AM73)*100</f>
        <v>16.03</v>
      </c>
      <c r="AO73" s="92" t="n">
        <f aca="false">AM73/1.2</f>
        <v>2309.66</v>
      </c>
      <c r="AP73" s="92" t="n">
        <f aca="false">AM73*1.2</f>
        <v>3325.91</v>
      </c>
      <c r="AQ73" s="86" t="n">
        <f aca="false">AND((AE73)&gt;=MIN(AO73),(AE73)&lt;=MAX(AP73))</f>
        <v>1</v>
      </c>
      <c r="AR73" s="86" t="n">
        <f aca="false">AND((AH73)&gt;=MIN(AO73),(AH73)&lt;=MAX(AP73))</f>
        <v>1</v>
      </c>
      <c r="AS73" s="86" t="n">
        <f aca="false">AND((AK73)&gt;=MIN(AO73),(AK73)&lt;=MAX(AP73))</f>
        <v>1</v>
      </c>
    </row>
    <row r="74" s="38" customFormat="true" ht="104.25" hidden="false" customHeight="true" outlineLevel="0" collapsed="false">
      <c r="A74" s="28" t="n">
        <v>68</v>
      </c>
      <c r="B74" s="102"/>
      <c r="C74" s="220"/>
      <c r="D74" s="43" t="s">
        <v>274</v>
      </c>
      <c r="E74" s="44" t="s">
        <v>143</v>
      </c>
      <c r="F74" s="45" t="n">
        <v>1</v>
      </c>
      <c r="G74" s="32" t="n">
        <f aca="false">Q74</f>
        <v>4780.57</v>
      </c>
      <c r="H74" s="42" t="s">
        <v>275</v>
      </c>
      <c r="I74" s="34" t="n">
        <f aca="false">5641/1.2*1.05</f>
        <v>4935.88</v>
      </c>
      <c r="J74" s="34" t="n">
        <f aca="false">F74*I74</f>
        <v>4935.88</v>
      </c>
      <c r="K74" s="42" t="s">
        <v>276</v>
      </c>
      <c r="L74" s="34" t="n">
        <f aca="false">5667/1.2</f>
        <v>4722.5</v>
      </c>
      <c r="M74" s="34" t="n">
        <f aca="false">F74*L74</f>
        <v>4722.5</v>
      </c>
      <c r="N74" s="42" t="s">
        <v>277</v>
      </c>
      <c r="O74" s="34" t="n">
        <f aca="false">5620/1.2</f>
        <v>4683.33</v>
      </c>
      <c r="P74" s="34" t="n">
        <f aca="false">F74*O74</f>
        <v>4683.33</v>
      </c>
      <c r="Q74" s="35" t="n">
        <f aca="false">AVERAGE(I74,L74,O74)</f>
        <v>4780.57</v>
      </c>
      <c r="R74" s="36" t="n">
        <f aca="false">G74*100/Q74-100</f>
        <v>0</v>
      </c>
      <c r="S74" s="35" t="n">
        <f aca="false">Q74*F74</f>
        <v>4780.57</v>
      </c>
      <c r="T74" s="37"/>
      <c r="V74" s="39" t="n">
        <f aca="false">ROUND(I74*100/Q74-100,0)</f>
        <v>3</v>
      </c>
      <c r="W74" s="39" t="n">
        <f aca="false">ROUND(L74*100/Q74-100,0)</f>
        <v>-1</v>
      </c>
      <c r="X74" s="39" t="n">
        <f aca="false">ROUND(O74*100/Q74-100,0)</f>
        <v>-2</v>
      </c>
      <c r="Y74" s="85" t="n">
        <f aca="false">Q74/1.2</f>
        <v>3983.81</v>
      </c>
      <c r="Z74" s="85" t="n">
        <f aca="false">Q74*1.2</f>
        <v>5736.68</v>
      </c>
      <c r="AA74" s="86" t="n">
        <f aca="false">AND((I74)&gt;=MIN(Y74),(I74)&lt;=MAX(Z74))</f>
        <v>1</v>
      </c>
      <c r="AB74" s="86" t="n">
        <f aca="false">AND((L74)&gt;=MIN(Y74),(L74)&lt;=MAX(Z74))</f>
        <v>1</v>
      </c>
      <c r="AC74" s="86" t="n">
        <f aca="false">AND((O74)&gt;=MIN(Y74),(O74)&lt;=MAX(Z74))</f>
        <v>1</v>
      </c>
      <c r="AD74" s="95" t="s">
        <v>853</v>
      </c>
      <c r="AE74" s="88" t="n">
        <f aca="false">5800/1.2</f>
        <v>4833.33</v>
      </c>
      <c r="AF74" s="88" t="n">
        <f aca="false">AE74*F74</f>
        <v>4833.33</v>
      </c>
      <c r="AG74" s="95" t="s">
        <v>854</v>
      </c>
      <c r="AH74" s="88" t="n">
        <f aca="false">4469/1.2</f>
        <v>3724.17</v>
      </c>
      <c r="AI74" s="89" t="n">
        <f aca="false">AH74*F74</f>
        <v>3724.17</v>
      </c>
      <c r="AJ74" s="95" t="s">
        <v>855</v>
      </c>
      <c r="AK74" s="88" t="n">
        <f aca="false">4469/1.2</f>
        <v>3724.17</v>
      </c>
      <c r="AL74" s="89" t="n">
        <f aca="false">AK74*F74</f>
        <v>3724.17</v>
      </c>
      <c r="AM74" s="91" t="n">
        <f aca="false">AVERAGE(AE74,AH74,AK74)</f>
        <v>4093.89</v>
      </c>
      <c r="AN74" s="91" t="n">
        <f aca="false">((G74-AM74)/AM74)*100</f>
        <v>16.77</v>
      </c>
      <c r="AO74" s="92" t="n">
        <f aca="false">AM74/1.2</f>
        <v>3411.58</v>
      </c>
      <c r="AP74" s="92" t="n">
        <f aca="false">AM74*1.2</f>
        <v>4912.67</v>
      </c>
      <c r="AQ74" s="86" t="n">
        <f aca="false">AND((AE74)&gt;=MIN(AO74),(AE74)&lt;=MAX(AP74))</f>
        <v>1</v>
      </c>
      <c r="AR74" s="86" t="n">
        <f aca="false">AND((AH74)&gt;=MIN(AO74),(AH74)&lt;=MAX(AP74))</f>
        <v>1</v>
      </c>
      <c r="AS74" s="86" t="n">
        <f aca="false">AND((AK74)&gt;=MIN(AO74),(AK74)&lt;=MAX(AP74))</f>
        <v>1</v>
      </c>
    </row>
    <row r="75" s="38" customFormat="true" ht="104.25" hidden="false" customHeight="true" outlineLevel="0" collapsed="false">
      <c r="A75" s="28" t="n">
        <v>69</v>
      </c>
      <c r="B75" s="102"/>
      <c r="C75" s="220"/>
      <c r="D75" s="43" t="s">
        <v>278</v>
      </c>
      <c r="E75" s="44" t="s">
        <v>143</v>
      </c>
      <c r="F75" s="45" t="n">
        <v>4</v>
      </c>
      <c r="G75" s="32" t="n">
        <f aca="false">Q75</f>
        <v>1563.33</v>
      </c>
      <c r="H75" s="42" t="s">
        <v>279</v>
      </c>
      <c r="I75" s="34" t="n">
        <f aca="false">1878/1.2</f>
        <v>1565</v>
      </c>
      <c r="J75" s="34" t="n">
        <f aca="false">F75*I75</f>
        <v>6260</v>
      </c>
      <c r="K75" s="42" t="s">
        <v>280</v>
      </c>
      <c r="L75" s="34" t="n">
        <f aca="false">1850/1.2</f>
        <v>1541.67</v>
      </c>
      <c r="M75" s="34" t="n">
        <f aca="false">F75*L75</f>
        <v>6166.68</v>
      </c>
      <c r="N75" s="42" t="s">
        <v>281</v>
      </c>
      <c r="O75" s="34" t="n">
        <f aca="false">1900/1.2</f>
        <v>1583.33</v>
      </c>
      <c r="P75" s="34" t="n">
        <f aca="false">F75*O75</f>
        <v>6333.32</v>
      </c>
      <c r="Q75" s="35" t="n">
        <f aca="false">AVERAGE(I75,L75,O75)</f>
        <v>1563.33</v>
      </c>
      <c r="R75" s="36" t="n">
        <f aca="false">G75*100/Q75-100</f>
        <v>0</v>
      </c>
      <c r="S75" s="35" t="n">
        <f aca="false">Q75*F75</f>
        <v>6253.32</v>
      </c>
      <c r="T75" s="37"/>
      <c r="V75" s="39" t="n">
        <f aca="false">ROUND(I75*100/Q75-100,0)</f>
        <v>0</v>
      </c>
      <c r="W75" s="39" t="n">
        <f aca="false">ROUND(L75*100/Q75-100,0)</f>
        <v>-1</v>
      </c>
      <c r="X75" s="39" t="n">
        <f aca="false">ROUND(O75*100/Q75-100,0)</f>
        <v>1</v>
      </c>
      <c r="Y75" s="85" t="n">
        <f aca="false">Q75/1.2</f>
        <v>1302.78</v>
      </c>
      <c r="Z75" s="85" t="n">
        <f aca="false">Q75*1.2</f>
        <v>1876</v>
      </c>
      <c r="AA75" s="86" t="n">
        <f aca="false">AND((I75)&gt;=MIN(Y75),(I75)&lt;=MAX(Z75))</f>
        <v>1</v>
      </c>
      <c r="AB75" s="86" t="n">
        <f aca="false">AND((L75)&gt;=MIN(Y75),(L75)&lt;=MAX(Z75))</f>
        <v>1</v>
      </c>
      <c r="AC75" s="86" t="n">
        <f aca="false">AND((O75)&gt;=MIN(Y75),(O75)&lt;=MAX(Z75))</f>
        <v>1</v>
      </c>
      <c r="AD75" s="95" t="s">
        <v>856</v>
      </c>
      <c r="AE75" s="88" t="n">
        <f aca="false">1760/1.2</f>
        <v>1466.67</v>
      </c>
      <c r="AF75" s="88" t="n">
        <f aca="false">AE75*F75</f>
        <v>5866.68</v>
      </c>
      <c r="AG75" s="95" t="s">
        <v>857</v>
      </c>
      <c r="AH75" s="88" t="n">
        <f aca="false">1700/1.2</f>
        <v>1416.67</v>
      </c>
      <c r="AI75" s="89" t="n">
        <f aca="false">AH75*F75</f>
        <v>5666.68</v>
      </c>
      <c r="AJ75" s="95" t="s">
        <v>858</v>
      </c>
      <c r="AK75" s="88" t="n">
        <f aca="false">1700/1.2</f>
        <v>1416.67</v>
      </c>
      <c r="AL75" s="89" t="n">
        <f aca="false">AK75*F75</f>
        <v>5666.68</v>
      </c>
      <c r="AM75" s="91" t="n">
        <f aca="false">AVERAGE(AE75,AH75,AK75)</f>
        <v>1433.34</v>
      </c>
      <c r="AN75" s="91" t="n">
        <f aca="false">((G75-AM75)/AM75)*100</f>
        <v>9.07</v>
      </c>
      <c r="AO75" s="92" t="n">
        <f aca="false">AM75/1.2</f>
        <v>1194.45</v>
      </c>
      <c r="AP75" s="92" t="n">
        <f aca="false">AM75*1.2</f>
        <v>1720.01</v>
      </c>
      <c r="AQ75" s="86" t="n">
        <f aca="false">AND((AE75)&gt;=MIN(AO75),(AE75)&lt;=MAX(AP75))</f>
        <v>1</v>
      </c>
      <c r="AR75" s="86" t="n">
        <f aca="false">AND((AH75)&gt;=MIN(AO75),(AH75)&lt;=MAX(AP75))</f>
        <v>1</v>
      </c>
      <c r="AS75" s="86" t="n">
        <f aca="false">AND((AK75)&gt;=MIN(AO75),(AK75)&lt;=MAX(AP75))</f>
        <v>1</v>
      </c>
    </row>
    <row r="76" s="38" customFormat="true" ht="104.25" hidden="false" customHeight="true" outlineLevel="0" collapsed="false">
      <c r="A76" s="28" t="n">
        <v>70</v>
      </c>
      <c r="B76" s="104" t="s">
        <v>859</v>
      </c>
      <c r="C76" s="215"/>
      <c r="D76" s="43" t="s">
        <v>282</v>
      </c>
      <c r="E76" s="44" t="s">
        <v>143</v>
      </c>
      <c r="F76" s="45" t="n">
        <v>10</v>
      </c>
      <c r="G76" s="32" t="n">
        <f aca="false">Q76</f>
        <v>1552.5</v>
      </c>
      <c r="H76" s="42" t="s">
        <v>283</v>
      </c>
      <c r="I76" s="34" t="n">
        <f aca="false">2120/1.2</f>
        <v>1766.67</v>
      </c>
      <c r="J76" s="47" t="n">
        <f aca="false">F76*I76</f>
        <v>17666.7</v>
      </c>
      <c r="K76" s="42" t="s">
        <v>284</v>
      </c>
      <c r="L76" s="34" t="n">
        <f aca="false">1769/1.2</f>
        <v>1474.17</v>
      </c>
      <c r="M76" s="47" t="n">
        <f aca="false">F76*L76</f>
        <v>14741.7</v>
      </c>
      <c r="N76" s="42" t="s">
        <v>285</v>
      </c>
      <c r="O76" s="47" t="n">
        <f aca="false">1700/1.2</f>
        <v>1416.67</v>
      </c>
      <c r="P76" s="47" t="n">
        <f aca="false">F76*O76</f>
        <v>14166.7</v>
      </c>
      <c r="Q76" s="35" t="n">
        <f aca="false">AVERAGE(I76,L76,O76)</f>
        <v>1552.5</v>
      </c>
      <c r="R76" s="36" t="n">
        <f aca="false">G76*100/Q76-100</f>
        <v>0</v>
      </c>
      <c r="S76" s="35" t="n">
        <f aca="false">Q76*F76</f>
        <v>15525</v>
      </c>
      <c r="T76" s="37"/>
      <c r="V76" s="39" t="n">
        <f aca="false">ROUND(I76*100/Q76-100,0)</f>
        <v>14</v>
      </c>
      <c r="W76" s="39" t="n">
        <f aca="false">ROUND(L76*100/Q76-100,0)</f>
        <v>-5</v>
      </c>
      <c r="X76" s="39" t="n">
        <f aca="false">ROUND(O76*100/Q76-100,0)</f>
        <v>-9</v>
      </c>
      <c r="Y76" s="85" t="n">
        <f aca="false">Q76/1.2</f>
        <v>1293.75</v>
      </c>
      <c r="Z76" s="85" t="n">
        <f aca="false">Q76*1.2</f>
        <v>1863</v>
      </c>
      <c r="AA76" s="86" t="n">
        <f aca="false">AND((I76)&gt;=MIN(Y76),(I76)&lt;=MAX(Z76))</f>
        <v>1</v>
      </c>
      <c r="AB76" s="86" t="n">
        <f aca="false">AND((L76)&gt;=MIN(Y76),(L76)&lt;=MAX(Z76))</f>
        <v>1</v>
      </c>
      <c r="AC76" s="86" t="n">
        <f aca="false">AND((O76)&gt;=MIN(Y76),(O76)&lt;=MAX(Z76))</f>
        <v>1</v>
      </c>
      <c r="AD76" s="95" t="s">
        <v>860</v>
      </c>
      <c r="AE76" s="88" t="n">
        <f aca="false">1778/1.2</f>
        <v>1481.67</v>
      </c>
      <c r="AF76" s="88" t="n">
        <f aca="false">AE76*F76</f>
        <v>14816.7</v>
      </c>
      <c r="AG76" s="95" t="s">
        <v>861</v>
      </c>
      <c r="AH76" s="88" t="n">
        <f aca="false">1347/1.2</f>
        <v>1122.5</v>
      </c>
      <c r="AI76" s="89" t="n">
        <f aca="false">AH76*F76</f>
        <v>11225</v>
      </c>
      <c r="AJ76" s="95" t="s">
        <v>862</v>
      </c>
      <c r="AK76" s="88" t="n">
        <f aca="false">1458/1.2</f>
        <v>1215</v>
      </c>
      <c r="AL76" s="89" t="n">
        <f aca="false">AK76*F76</f>
        <v>12150</v>
      </c>
      <c r="AM76" s="91" t="n">
        <f aca="false">AVERAGE(AE76,AH76,AK76)</f>
        <v>1273.06</v>
      </c>
      <c r="AN76" s="91" t="n">
        <f aca="false">((G76-AM76)/AM76)*100</f>
        <v>21.95</v>
      </c>
      <c r="AO76" s="92" t="n">
        <f aca="false">AM76/1.2</f>
        <v>1060.88</v>
      </c>
      <c r="AP76" s="92" t="n">
        <f aca="false">AM76*1.2</f>
        <v>1527.67</v>
      </c>
      <c r="AQ76" s="86" t="n">
        <f aca="false">AND((AE76)&gt;=MIN(AO76),(AE76)&lt;=MAX(AP76))</f>
        <v>1</v>
      </c>
      <c r="AR76" s="86" t="n">
        <f aca="false">AND((AH76)&gt;=MIN(AO76),(AH76)&lt;=MAX(AP76))</f>
        <v>1</v>
      </c>
      <c r="AS76" s="86" t="n">
        <f aca="false">AND((AK76)&gt;=MIN(AO76),(AK76)&lt;=MAX(AP76))</f>
        <v>1</v>
      </c>
    </row>
    <row r="77" s="38" customFormat="true" ht="104.25" hidden="false" customHeight="true" outlineLevel="0" collapsed="false">
      <c r="A77" s="28" t="n">
        <v>71</v>
      </c>
      <c r="B77" s="104" t="s">
        <v>863</v>
      </c>
      <c r="C77" s="215"/>
      <c r="D77" s="51" t="s">
        <v>286</v>
      </c>
      <c r="E77" s="52" t="s">
        <v>287</v>
      </c>
      <c r="F77" s="53" t="n">
        <v>2.69</v>
      </c>
      <c r="G77" s="32" t="n">
        <f aca="false">Q77</f>
        <v>4421.57</v>
      </c>
      <c r="H77" s="33" t="s">
        <v>288</v>
      </c>
      <c r="I77" s="34" t="n">
        <f aca="false">(423/85)*1000/1.2</f>
        <v>4147.06</v>
      </c>
      <c r="J77" s="34" t="n">
        <f aca="false">F77*I77</f>
        <v>11155.59</v>
      </c>
      <c r="K77" s="33" t="s">
        <v>289</v>
      </c>
      <c r="L77" s="34" t="n">
        <f aca="false">(480/85)*1000/1.2</f>
        <v>4705.88</v>
      </c>
      <c r="M77" s="34" t="n">
        <f aca="false">F77*L77</f>
        <v>12658.82</v>
      </c>
      <c r="N77" s="33" t="s">
        <v>290</v>
      </c>
      <c r="O77" s="34" t="n">
        <f aca="false">(450/85)*1000/1.2</f>
        <v>4411.76</v>
      </c>
      <c r="P77" s="34" t="n">
        <f aca="false">F77*O77</f>
        <v>11867.63</v>
      </c>
      <c r="Q77" s="35" t="n">
        <f aca="false">AVERAGE(I77,L77,O77)</f>
        <v>4421.57</v>
      </c>
      <c r="R77" s="36" t="n">
        <f aca="false">G77*100/Q77-100</f>
        <v>0</v>
      </c>
      <c r="S77" s="35" t="n">
        <f aca="false">Q77*F77</f>
        <v>11894.02</v>
      </c>
      <c r="T77" s="37"/>
      <c r="V77" s="39" t="n">
        <f aca="false">ROUND(I77*100/Q77-100,0)</f>
        <v>-6</v>
      </c>
      <c r="W77" s="39" t="n">
        <f aca="false">ROUND(L77*100/Q77-100,0)</f>
        <v>6</v>
      </c>
      <c r="X77" s="39" t="n">
        <f aca="false">ROUND(O77*100/Q77-100,0)</f>
        <v>-0</v>
      </c>
      <c r="Y77" s="85" t="n">
        <f aca="false">Q77/1.2</f>
        <v>3684.64</v>
      </c>
      <c r="Z77" s="85" t="n">
        <f aca="false">Q77*1.2</f>
        <v>5305.88</v>
      </c>
      <c r="AA77" s="86" t="n">
        <f aca="false">AND((I77)&gt;=MIN(Y77),(I77)&lt;=MAX(Z77))</f>
        <v>1</v>
      </c>
      <c r="AB77" s="86" t="n">
        <f aca="false">AND((L77)&gt;=MIN(Y77),(L77)&lt;=MAX(Z77))</f>
        <v>1</v>
      </c>
      <c r="AC77" s="86" t="n">
        <f aca="false">AND((O77)&gt;=MIN(Y77),(O77)&lt;=MAX(Z77))</f>
        <v>1</v>
      </c>
      <c r="AD77" s="95"/>
      <c r="AE77" s="88"/>
      <c r="AF77" s="88" t="n">
        <f aca="false">AE77*F77</f>
        <v>0</v>
      </c>
      <c r="AG77" s="95"/>
      <c r="AH77" s="88"/>
      <c r="AI77" s="89" t="n">
        <f aca="false">AH77*F77</f>
        <v>0</v>
      </c>
      <c r="AJ77" s="95"/>
      <c r="AK77" s="88"/>
      <c r="AL77" s="89" t="n">
        <f aca="false">AK77*F77</f>
        <v>0</v>
      </c>
      <c r="AM77" s="91" t="e">
        <f aca="false">AVERAGE(AE77,AH77,AK77)</f>
        <v>#DIV/0!</v>
      </c>
      <c r="AN77" s="91" t="e">
        <f aca="false">((G77-AM77)/AM77)*100</f>
        <v>#DIV/0!</v>
      </c>
      <c r="AO77" s="92" t="e">
        <f aca="false">AM77/1.2</f>
        <v>#DIV/0!</v>
      </c>
      <c r="AP77" s="92" t="e">
        <f aca="false">AM77*1.2</f>
        <v>#DIV/0!</v>
      </c>
      <c r="AQ77" s="86" t="e">
        <f aca="false">AND((AE77)&gt;=MIN(AO77),(AE77)&lt;=MAX(AP77))</f>
        <v>#DIV/0!</v>
      </c>
      <c r="AR77" s="86" t="e">
        <f aca="false">AND((AH77)&gt;=MIN(AO77),(AH77)&lt;=MAX(AP77))</f>
        <v>#DIV/0!</v>
      </c>
      <c r="AS77" s="86" t="e">
        <f aca="false">AND((AK77)&gt;=MIN(AO77),(AK77)&lt;=MAX(AP77))</f>
        <v>#DIV/0!</v>
      </c>
    </row>
    <row r="78" s="38" customFormat="true" ht="104.25" hidden="false" customHeight="true" outlineLevel="0" collapsed="false">
      <c r="A78" s="28" t="n">
        <v>72</v>
      </c>
      <c r="B78" s="104" t="s">
        <v>864</v>
      </c>
      <c r="C78" s="220" t="s">
        <v>1144</v>
      </c>
      <c r="D78" s="54" t="s">
        <v>291</v>
      </c>
      <c r="E78" s="55" t="s">
        <v>64</v>
      </c>
      <c r="F78" s="56" t="n">
        <v>120</v>
      </c>
      <c r="G78" s="32" t="n">
        <f aca="false">Q78</f>
        <v>148.05</v>
      </c>
      <c r="H78" s="33" t="s">
        <v>292</v>
      </c>
      <c r="I78" s="34" t="n">
        <f aca="false">1723/1.2/10</f>
        <v>143.58</v>
      </c>
      <c r="J78" s="34" t="n">
        <f aca="false">F78*I78</f>
        <v>17229.6</v>
      </c>
      <c r="K78" s="33" t="s">
        <v>293</v>
      </c>
      <c r="L78" s="34" t="n">
        <f aca="false">1792/1.2/10</f>
        <v>149.33</v>
      </c>
      <c r="M78" s="34" t="n">
        <f aca="false">F78*L78</f>
        <v>17919.6</v>
      </c>
      <c r="N78" s="33" t="s">
        <v>294</v>
      </c>
      <c r="O78" s="34" t="n">
        <f aca="false">1815/1.2/10</f>
        <v>151.25</v>
      </c>
      <c r="P78" s="34" t="n">
        <f aca="false">F78*O78</f>
        <v>18150</v>
      </c>
      <c r="Q78" s="35" t="n">
        <f aca="false">AVERAGE(I78,L78,O78)</f>
        <v>148.05</v>
      </c>
      <c r="R78" s="36" t="n">
        <f aca="false">G78*100/Q78-100</f>
        <v>0</v>
      </c>
      <c r="S78" s="35" t="n">
        <f aca="false">Q78*F78</f>
        <v>17766</v>
      </c>
      <c r="T78" s="37"/>
      <c r="V78" s="39" t="n">
        <f aca="false">ROUND(I78*100/Q78-100,0)</f>
        <v>-3</v>
      </c>
      <c r="W78" s="39" t="n">
        <f aca="false">ROUND(L78*100/Q78-100,0)</f>
        <v>1</v>
      </c>
      <c r="X78" s="39" t="n">
        <f aca="false">ROUND(O78*100/Q78-100,0)</f>
        <v>2</v>
      </c>
      <c r="Y78" s="85" t="n">
        <f aca="false">Q78/1.2</f>
        <v>123.38</v>
      </c>
      <c r="Z78" s="85" t="n">
        <f aca="false">Q78*1.2</f>
        <v>177.66</v>
      </c>
      <c r="AA78" s="86" t="n">
        <f aca="false">AND((I78)&gt;=MIN(Y78),(I78)&lt;=MAX(Z78))</f>
        <v>1</v>
      </c>
      <c r="AB78" s="86" t="n">
        <f aca="false">AND((L78)&gt;=MIN(Y78),(L78)&lt;=MAX(Z78))</f>
        <v>1</v>
      </c>
      <c r="AC78" s="86" t="n">
        <f aca="false">AND((O78)&gt;=MIN(Y78),(O78)&lt;=MAX(Z78))</f>
        <v>1</v>
      </c>
      <c r="AD78" s="95" t="s">
        <v>865</v>
      </c>
      <c r="AE78" s="88" t="n">
        <f aca="false">5327/1.2/20</f>
        <v>221.96</v>
      </c>
      <c r="AF78" s="88" t="n">
        <f aca="false">AE78*F78</f>
        <v>26635.2</v>
      </c>
      <c r="AG78" s="95" t="s">
        <v>866</v>
      </c>
      <c r="AH78" s="88" t="n">
        <f aca="false">5039.2/20/1.2</f>
        <v>209.97</v>
      </c>
      <c r="AI78" s="89" t="n">
        <f aca="false">AH78*F78</f>
        <v>25196.4</v>
      </c>
      <c r="AJ78" s="95" t="s">
        <v>867</v>
      </c>
      <c r="AK78" s="88" t="n">
        <f aca="false">5848/20/1.2</f>
        <v>243.67</v>
      </c>
      <c r="AL78" s="89" t="n">
        <f aca="false">AK78*F78</f>
        <v>29240.4</v>
      </c>
      <c r="AM78" s="91" t="n">
        <f aca="false">AVERAGE(AE78,AH78,AK78)</f>
        <v>225.2</v>
      </c>
      <c r="AN78" s="91" t="n">
        <f aca="false">((G78-AM78)/AM78)*100</f>
        <v>-34.26</v>
      </c>
      <c r="AO78" s="92" t="n">
        <f aca="false">AM78/1.2</f>
        <v>187.67</v>
      </c>
      <c r="AP78" s="92" t="n">
        <f aca="false">AM78*1.2</f>
        <v>270.24</v>
      </c>
      <c r="AQ78" s="86" t="n">
        <f aca="false">AND((AE78)&gt;=MIN(AO78),(AE78)&lt;=MAX(AP78))</f>
        <v>1</v>
      </c>
      <c r="AR78" s="86" t="n">
        <f aca="false">AND((AH78)&gt;=MIN(AO78),(AH78)&lt;=MAX(AP78))</f>
        <v>1</v>
      </c>
      <c r="AS78" s="86" t="n">
        <f aca="false">AND((AK78)&gt;=MIN(AO78),(AK78)&lt;=MAX(AP78))</f>
        <v>1</v>
      </c>
    </row>
    <row r="79" s="38" customFormat="true" ht="104.25" hidden="false" customHeight="true" outlineLevel="0" collapsed="false">
      <c r="A79" s="28" t="n">
        <v>73</v>
      </c>
      <c r="B79" s="102"/>
      <c r="C79" s="220"/>
      <c r="D79" s="60" t="s">
        <v>335</v>
      </c>
      <c r="E79" s="58" t="s">
        <v>27</v>
      </c>
      <c r="F79" s="59" t="n">
        <v>2.2</v>
      </c>
      <c r="G79" s="32" t="n">
        <f aca="false">Q79</f>
        <v>430.29</v>
      </c>
      <c r="H79" s="42" t="s">
        <v>336</v>
      </c>
      <c r="I79" s="34" t="n">
        <f aca="false">489.05/1.2</f>
        <v>407.54</v>
      </c>
      <c r="J79" s="34" t="n">
        <f aca="false">F79*I79</f>
        <v>896.59</v>
      </c>
      <c r="K79" s="42" t="s">
        <v>337</v>
      </c>
      <c r="L79" s="34" t="n">
        <f aca="false">540/1.2</f>
        <v>450</v>
      </c>
      <c r="M79" s="34" t="n">
        <f aca="false">F79*L79</f>
        <v>990</v>
      </c>
      <c r="N79" s="42" t="s">
        <v>338</v>
      </c>
      <c r="O79" s="34" t="n">
        <f aca="false">520/1.2</f>
        <v>433.33</v>
      </c>
      <c r="P79" s="34" t="n">
        <f aca="false">F79*O79</f>
        <v>953.33</v>
      </c>
      <c r="Q79" s="35" t="n">
        <f aca="false">AVERAGE(I79,L79,O79)</f>
        <v>430.29</v>
      </c>
      <c r="R79" s="36" t="n">
        <f aca="false">G79*100/Q79-100</f>
        <v>0</v>
      </c>
      <c r="S79" s="35" t="n">
        <f aca="false">Q79*F79</f>
        <v>946.64</v>
      </c>
      <c r="T79" s="37"/>
      <c r="V79" s="39" t="n">
        <f aca="false">ROUND(I79*100/Q79-100,0)</f>
        <v>-5</v>
      </c>
      <c r="W79" s="39" t="n">
        <f aca="false">ROUND(L79*100/Q79-100,0)</f>
        <v>5</v>
      </c>
      <c r="X79" s="39" t="n">
        <f aca="false">ROUND(O79*100/Q79-100,0)</f>
        <v>1</v>
      </c>
      <c r="Y79" s="85" t="n">
        <f aca="false">Q79/1.2</f>
        <v>358.58</v>
      </c>
      <c r="Z79" s="85" t="n">
        <f aca="false">Q79*1.2</f>
        <v>516.35</v>
      </c>
      <c r="AA79" s="86" t="n">
        <f aca="false">AND((I79)&gt;=MIN(Y79),(I79)&lt;=MAX(Z79))</f>
        <v>1</v>
      </c>
      <c r="AB79" s="86" t="n">
        <f aca="false">AND((L79)&gt;=MIN(Y79),(L79)&lt;=MAX(Z79))</f>
        <v>1</v>
      </c>
      <c r="AC79" s="86" t="n">
        <f aca="false">AND((O79)&gt;=MIN(Y79),(O79)&lt;=MAX(Z79))</f>
        <v>1</v>
      </c>
      <c r="AD79" s="95" t="s">
        <v>868</v>
      </c>
      <c r="AE79" s="88" t="n">
        <f aca="false">241.32/1.2</f>
        <v>201.1</v>
      </c>
      <c r="AF79" s="88" t="n">
        <f aca="false">AE79*F79</f>
        <v>442.42</v>
      </c>
      <c r="AG79" s="95" t="s">
        <v>869</v>
      </c>
      <c r="AH79" s="88" t="n">
        <f aca="false">272.3/1.2</f>
        <v>226.92</v>
      </c>
      <c r="AI79" s="89" t="n">
        <f aca="false">AH79*F79</f>
        <v>499.22</v>
      </c>
      <c r="AJ79" s="95" t="s">
        <v>870</v>
      </c>
      <c r="AK79" s="88" t="n">
        <f aca="false">287/1.2</f>
        <v>239.17</v>
      </c>
      <c r="AL79" s="89" t="n">
        <f aca="false">AK79*F79</f>
        <v>526.17</v>
      </c>
      <c r="AM79" s="91" t="n">
        <f aca="false">AVERAGE(AE79,AH79,AK79)</f>
        <v>222.4</v>
      </c>
      <c r="AN79" s="91" t="n">
        <f aca="false">((G79-AM79)/AM79)*100</f>
        <v>93.48</v>
      </c>
      <c r="AO79" s="92" t="n">
        <f aca="false">AM79/1.2</f>
        <v>185.33</v>
      </c>
      <c r="AP79" s="92" t="n">
        <f aca="false">AM79*1.2</f>
        <v>266.88</v>
      </c>
      <c r="AQ79" s="86" t="n">
        <f aca="false">AND((AE79)&gt;=MIN(AO79),(AE79)&lt;=MAX(AP79))</f>
        <v>1</v>
      </c>
      <c r="AR79" s="86" t="n">
        <f aca="false">AND((AH79)&gt;=MIN(AO79),(AH79)&lt;=MAX(AP79))</f>
        <v>1</v>
      </c>
      <c r="AS79" s="86" t="n">
        <f aca="false">AND((AK79)&gt;=MIN(AO79),(AK79)&lt;=MAX(AP79))</f>
        <v>1</v>
      </c>
    </row>
    <row r="80" s="38" customFormat="true" ht="104.25" hidden="false" customHeight="true" outlineLevel="0" collapsed="false">
      <c r="A80" s="28" t="n">
        <v>74</v>
      </c>
      <c r="B80" s="102"/>
      <c r="C80" s="220"/>
      <c r="D80" s="60" t="s">
        <v>339</v>
      </c>
      <c r="E80" s="58" t="s">
        <v>27</v>
      </c>
      <c r="F80" s="59" t="n">
        <v>1.8</v>
      </c>
      <c r="G80" s="32" t="n">
        <f aca="false">Q80</f>
        <v>291.18</v>
      </c>
      <c r="H80" s="40" t="s">
        <v>340</v>
      </c>
      <c r="I80" s="34" t="n">
        <f aca="false">332/1.2*1.05</f>
        <v>290.5</v>
      </c>
      <c r="J80" s="34" t="n">
        <f aca="false">F80*I80</f>
        <v>522.9</v>
      </c>
      <c r="K80" s="42" t="s">
        <v>341</v>
      </c>
      <c r="L80" s="34" t="n">
        <f aca="false">368.88/1.2</f>
        <v>307.4</v>
      </c>
      <c r="M80" s="34" t="n">
        <f aca="false">F80*L80</f>
        <v>553.32</v>
      </c>
      <c r="N80" s="42" t="s">
        <v>342</v>
      </c>
      <c r="O80" s="34" t="n">
        <f aca="false">330.77/1.2</f>
        <v>275.64</v>
      </c>
      <c r="P80" s="34" t="n">
        <f aca="false">F80*O80</f>
        <v>496.15</v>
      </c>
      <c r="Q80" s="35" t="n">
        <f aca="false">AVERAGE(I80,L80,O80)</f>
        <v>291.18</v>
      </c>
      <c r="R80" s="36" t="n">
        <f aca="false">G80*100/Q80-100</f>
        <v>0</v>
      </c>
      <c r="S80" s="35" t="n">
        <f aca="false">Q80*F80</f>
        <v>524.12</v>
      </c>
      <c r="T80" s="37"/>
      <c r="V80" s="39" t="n">
        <f aca="false">ROUND(I80*100/Q80-100,0)</f>
        <v>-0</v>
      </c>
      <c r="W80" s="39" t="n">
        <f aca="false">ROUND(L80*100/Q80-100,0)</f>
        <v>6</v>
      </c>
      <c r="X80" s="39" t="n">
        <f aca="false">ROUND(O80*100/Q80-100,0)</f>
        <v>-5</v>
      </c>
      <c r="Y80" s="85" t="n">
        <f aca="false">Q80/1.2</f>
        <v>242.65</v>
      </c>
      <c r="Z80" s="85" t="n">
        <f aca="false">Q80*1.2</f>
        <v>349.42</v>
      </c>
      <c r="AA80" s="86" t="n">
        <f aca="false">AND((I80)&gt;=MIN(Y80),(I80)&lt;=MAX(Z80))</f>
        <v>1</v>
      </c>
      <c r="AB80" s="86" t="n">
        <f aca="false">AND((L80)&gt;=MIN(Y80),(L80)&lt;=MAX(Z80))</f>
        <v>1</v>
      </c>
      <c r="AC80" s="86" t="n">
        <f aca="false">AND((O80)&gt;=MIN(Y80),(O80)&lt;=MAX(Z80))</f>
        <v>1</v>
      </c>
      <c r="AD80" s="95" t="s">
        <v>871</v>
      </c>
      <c r="AE80" s="88" t="n">
        <f aca="false">287/1.2</f>
        <v>239.17</v>
      </c>
      <c r="AF80" s="88" t="n">
        <f aca="false">AE80*F80</f>
        <v>430.51</v>
      </c>
      <c r="AG80" s="95" t="s">
        <v>872</v>
      </c>
      <c r="AH80" s="88" t="n">
        <f aca="false">302.5/1.2</f>
        <v>252.08</v>
      </c>
      <c r="AI80" s="89" t="n">
        <f aca="false">AH80*F80</f>
        <v>453.74</v>
      </c>
      <c r="AJ80" s="95" t="s">
        <v>873</v>
      </c>
      <c r="AK80" s="88" t="n">
        <f aca="false">307/1.2</f>
        <v>255.83</v>
      </c>
      <c r="AL80" s="89" t="n">
        <f aca="false">AK80*F80</f>
        <v>460.49</v>
      </c>
      <c r="AM80" s="91" t="n">
        <f aca="false">AVERAGE(AE80,AH80,AK80)</f>
        <v>249.03</v>
      </c>
      <c r="AN80" s="91" t="n">
        <f aca="false">((G80-AM80)/AM80)*100</f>
        <v>16.93</v>
      </c>
      <c r="AO80" s="92" t="n">
        <f aca="false">AM80/1.2</f>
        <v>207.53</v>
      </c>
      <c r="AP80" s="92" t="n">
        <f aca="false">AM80*1.2</f>
        <v>298.84</v>
      </c>
      <c r="AQ80" s="86" t="n">
        <f aca="false">AND((AE80)&gt;=MIN(AO80),(AE80)&lt;=MAX(AP80))</f>
        <v>1</v>
      </c>
      <c r="AR80" s="86" t="n">
        <f aca="false">AND((AH80)&gt;=MIN(AO80),(AH80)&lt;=MAX(AP80))</f>
        <v>1</v>
      </c>
      <c r="AS80" s="86" t="n">
        <f aca="false">AND((AK80)&gt;=MIN(AO80),(AK80)&lt;=MAX(AP80))</f>
        <v>1</v>
      </c>
    </row>
    <row r="81" s="38" customFormat="true" ht="104.25" hidden="false" customHeight="true" outlineLevel="0" collapsed="false">
      <c r="A81" s="28" t="n">
        <v>75</v>
      </c>
      <c r="B81" s="104" t="s">
        <v>874</v>
      </c>
      <c r="C81" s="215"/>
      <c r="D81" s="60" t="s">
        <v>343</v>
      </c>
      <c r="E81" s="58" t="s">
        <v>344</v>
      </c>
      <c r="F81" s="59" t="n">
        <v>190</v>
      </c>
      <c r="G81" s="32" t="n">
        <f aca="false">Q81</f>
        <v>757.62</v>
      </c>
      <c r="H81" s="42" t="s">
        <v>345</v>
      </c>
      <c r="I81" s="34" t="n">
        <f aca="false">1335/310*250/1.2</f>
        <v>897.18</v>
      </c>
      <c r="J81" s="34" t="n">
        <f aca="false">F81*I81</f>
        <v>170464.2</v>
      </c>
      <c r="K81" s="42" t="s">
        <v>346</v>
      </c>
      <c r="L81" s="34" t="n">
        <f aca="false">920/310*250/1.2</f>
        <v>618.28</v>
      </c>
      <c r="M81" s="34" t="n">
        <f aca="false">F81*L81</f>
        <v>117473.2</v>
      </c>
      <c r="N81" s="42" t="s">
        <v>347</v>
      </c>
      <c r="O81" s="34" t="n">
        <f aca="false">1127/310*250/1.2</f>
        <v>757.39</v>
      </c>
      <c r="P81" s="34" t="n">
        <f aca="false">F81*O81</f>
        <v>143904.1</v>
      </c>
      <c r="Q81" s="35" t="n">
        <f aca="false">AVERAGE(I81,L81,O81)</f>
        <v>757.62</v>
      </c>
      <c r="R81" s="36" t="n">
        <f aca="false">G81*100/Q81-100</f>
        <v>0</v>
      </c>
      <c r="S81" s="35" t="n">
        <f aca="false">Q81*F81</f>
        <v>143947.8</v>
      </c>
      <c r="T81" s="37"/>
      <c r="V81" s="39" t="n">
        <f aca="false">ROUND(I81*100/Q81-100,0)</f>
        <v>18</v>
      </c>
      <c r="W81" s="39" t="n">
        <f aca="false">ROUND(L81*100/Q81-100,0)</f>
        <v>-18</v>
      </c>
      <c r="X81" s="39" t="n">
        <f aca="false">ROUND(O81*100/Q81-100,0)</f>
        <v>-0</v>
      </c>
      <c r="Y81" s="85" t="n">
        <f aca="false">Q81/1.2</f>
        <v>631.35</v>
      </c>
      <c r="Z81" s="85" t="n">
        <f aca="false">Q81*1.2</f>
        <v>909.14</v>
      </c>
      <c r="AA81" s="86" t="n">
        <f aca="false">AND((I81)&gt;=MIN(Y81),(I81)&lt;=MAX(Z81))</f>
        <v>1</v>
      </c>
      <c r="AB81" s="101" t="n">
        <f aca="false">AND((L81)&gt;=MIN(Y81),(L81)&lt;=MAX(Z81))</f>
        <v>0</v>
      </c>
      <c r="AC81" s="86" t="n">
        <f aca="false">AND((O81)&gt;=MIN(Y81),(O81)&lt;=MAX(Z81))</f>
        <v>1</v>
      </c>
      <c r="AD81" s="95"/>
      <c r="AE81" s="88"/>
      <c r="AF81" s="88" t="n">
        <f aca="false">AE81*F81</f>
        <v>0</v>
      </c>
      <c r="AG81" s="95"/>
      <c r="AH81" s="88"/>
      <c r="AI81" s="89" t="n">
        <f aca="false">AH81*F81</f>
        <v>0</v>
      </c>
      <c r="AJ81" s="95"/>
      <c r="AK81" s="88"/>
      <c r="AL81" s="89" t="n">
        <f aca="false">AK81*F81</f>
        <v>0</v>
      </c>
      <c r="AM81" s="91" t="e">
        <f aca="false">AVERAGE(AE81,AH81,AK81)</f>
        <v>#DIV/0!</v>
      </c>
      <c r="AN81" s="91" t="e">
        <f aca="false">((G81-AM81)/AM81)*100</f>
        <v>#DIV/0!</v>
      </c>
      <c r="AO81" s="92" t="e">
        <f aca="false">AM81/1.2</f>
        <v>#DIV/0!</v>
      </c>
      <c r="AP81" s="92" t="e">
        <f aca="false">AM81*1.2</f>
        <v>#DIV/0!</v>
      </c>
      <c r="AQ81" s="86" t="e">
        <f aca="false">AND((AE81)&gt;=MIN(AO81),(AE81)&lt;=MAX(AP81))</f>
        <v>#DIV/0!</v>
      </c>
      <c r="AR81" s="86" t="e">
        <f aca="false">AND((AH81)&gt;=MIN(AO81),(AH81)&lt;=MAX(AP81))</f>
        <v>#DIV/0!</v>
      </c>
      <c r="AS81" s="86" t="e">
        <f aca="false">AND((AK81)&gt;=MIN(AO81),(AK81)&lt;=MAX(AP81))</f>
        <v>#DIV/0!</v>
      </c>
    </row>
    <row r="82" s="38" customFormat="true" ht="104.25" hidden="false" customHeight="true" outlineLevel="0" collapsed="false">
      <c r="A82" s="28" t="n">
        <v>76</v>
      </c>
      <c r="B82" s="104" t="s">
        <v>875</v>
      </c>
      <c r="C82" s="215"/>
      <c r="D82" s="60" t="s">
        <v>382</v>
      </c>
      <c r="E82" s="58" t="s">
        <v>344</v>
      </c>
      <c r="F82" s="59" t="n">
        <v>159</v>
      </c>
      <c r="G82" s="32" t="n">
        <f aca="false">Q82</f>
        <v>271.95</v>
      </c>
      <c r="H82" s="42" t="s">
        <v>383</v>
      </c>
      <c r="I82" s="34" t="n">
        <f aca="false">360/1.2</f>
        <v>300</v>
      </c>
      <c r="J82" s="34" t="n">
        <f aca="false">F82*I82</f>
        <v>47700</v>
      </c>
      <c r="K82" s="42" t="s">
        <v>384</v>
      </c>
      <c r="L82" s="34" t="n">
        <f aca="false">290/1.2</f>
        <v>241.67</v>
      </c>
      <c r="M82" s="34" t="n">
        <f aca="false">F82*L82</f>
        <v>38425.53</v>
      </c>
      <c r="N82" s="42" t="s">
        <v>381</v>
      </c>
      <c r="O82" s="34" t="n">
        <f aca="false">329/1.2</f>
        <v>274.17</v>
      </c>
      <c r="P82" s="34" t="n">
        <f aca="false">F82*O82</f>
        <v>43593.03</v>
      </c>
      <c r="Q82" s="35" t="n">
        <f aca="false">AVERAGE(I82,L82,O82)</f>
        <v>271.95</v>
      </c>
      <c r="R82" s="36" t="n">
        <f aca="false">G82*100/Q82-100</f>
        <v>0</v>
      </c>
      <c r="S82" s="35" t="n">
        <f aca="false">Q82*F82</f>
        <v>43240.05</v>
      </c>
      <c r="T82" s="37"/>
      <c r="V82" s="39" t="n">
        <f aca="false">ROUND(I82*100/Q82-100,0)</f>
        <v>10</v>
      </c>
      <c r="W82" s="39" t="n">
        <f aca="false">ROUND(L82*100/Q82-100,0)</f>
        <v>-11</v>
      </c>
      <c r="X82" s="39" t="n">
        <f aca="false">ROUND(O82*100/Q82-100,0)</f>
        <v>1</v>
      </c>
      <c r="Y82" s="85" t="n">
        <f aca="false">Q82/1.2</f>
        <v>226.63</v>
      </c>
      <c r="Z82" s="85" t="n">
        <f aca="false">Q82*1.2</f>
        <v>326.34</v>
      </c>
      <c r="AA82" s="86" t="n">
        <f aca="false">AND((I82)&gt;=MIN(Y82),(I82)&lt;=MAX(Z82))</f>
        <v>1</v>
      </c>
      <c r="AB82" s="86" t="n">
        <f aca="false">AND((L82)&gt;=MIN(Y82),(L82)&lt;=MAX(Z82))</f>
        <v>1</v>
      </c>
      <c r="AC82" s="86" t="n">
        <f aca="false">AND((O82)&gt;=MIN(Y82),(O82)&lt;=MAX(Z82))</f>
        <v>1</v>
      </c>
      <c r="AD82" s="95"/>
      <c r="AE82" s="88"/>
      <c r="AF82" s="88" t="n">
        <f aca="false">AE82*F82</f>
        <v>0</v>
      </c>
      <c r="AG82" s="95"/>
      <c r="AH82" s="88"/>
      <c r="AI82" s="89" t="n">
        <f aca="false">AH82*F82</f>
        <v>0</v>
      </c>
      <c r="AJ82" s="95"/>
      <c r="AK82" s="88"/>
      <c r="AL82" s="89" t="n">
        <f aca="false">AK82*F82</f>
        <v>0</v>
      </c>
      <c r="AM82" s="91" t="e">
        <f aca="false">AVERAGE(AE82,AH82,AK82)</f>
        <v>#DIV/0!</v>
      </c>
      <c r="AN82" s="91" t="e">
        <f aca="false">((G82-AM82)/AM82)*100</f>
        <v>#DIV/0!</v>
      </c>
      <c r="AO82" s="92" t="e">
        <f aca="false">AM82/1.2</f>
        <v>#DIV/0!</v>
      </c>
      <c r="AP82" s="92" t="e">
        <f aca="false">AM82*1.2</f>
        <v>#DIV/0!</v>
      </c>
      <c r="AQ82" s="86" t="e">
        <f aca="false">AND((AE82)&gt;=MIN(AO82),(AE82)&lt;=MAX(AP82))</f>
        <v>#DIV/0!</v>
      </c>
      <c r="AR82" s="86" t="e">
        <f aca="false">AND((AH82)&gt;=MIN(AO82),(AH82)&lt;=MAX(AP82))</f>
        <v>#DIV/0!</v>
      </c>
      <c r="AS82" s="86" t="e">
        <f aca="false">AND((AK82)&gt;=MIN(AO82),(AK82)&lt;=MAX(AP82))</f>
        <v>#DIV/0!</v>
      </c>
    </row>
    <row r="83" s="38" customFormat="true" ht="104.25" hidden="false" customHeight="true" outlineLevel="0" collapsed="false">
      <c r="A83" s="28" t="n">
        <v>77</v>
      </c>
      <c r="B83" s="104" t="s">
        <v>876</v>
      </c>
      <c r="C83" s="218"/>
      <c r="D83" s="60" t="s">
        <v>385</v>
      </c>
      <c r="E83" s="58" t="s">
        <v>27</v>
      </c>
      <c r="F83" s="59" t="n">
        <v>510</v>
      </c>
      <c r="G83" s="32" t="n">
        <f aca="false">Q83</f>
        <v>554.44</v>
      </c>
      <c r="H83" s="42" t="s">
        <v>386</v>
      </c>
      <c r="I83" s="34" t="n">
        <f aca="false">12980/20/1.2</f>
        <v>540.83</v>
      </c>
      <c r="J83" s="34" t="n">
        <f aca="false">F83*I83</f>
        <v>275823.3</v>
      </c>
      <c r="K83" s="42" t="s">
        <v>387</v>
      </c>
      <c r="L83" s="34" t="n">
        <f aca="false">6300/10/1.2</f>
        <v>525</v>
      </c>
      <c r="M83" s="34" t="n">
        <f aca="false">F83*L83</f>
        <v>267750</v>
      </c>
      <c r="N83" s="42" t="s">
        <v>388</v>
      </c>
      <c r="O83" s="34" t="n">
        <f aca="false">7170/10/1.2</f>
        <v>597.5</v>
      </c>
      <c r="P83" s="34" t="n">
        <f aca="false">F83*O83</f>
        <v>304725</v>
      </c>
      <c r="Q83" s="35" t="n">
        <f aca="false">AVERAGE(I83,L83,O83)</f>
        <v>554.44</v>
      </c>
      <c r="R83" s="36" t="n">
        <f aca="false">G83*100/Q83-100</f>
        <v>0</v>
      </c>
      <c r="S83" s="35" t="n">
        <f aca="false">Q83*F83</f>
        <v>282764.4</v>
      </c>
      <c r="T83" s="37"/>
      <c r="V83" s="39" t="n">
        <f aca="false">ROUND(I83*100/Q83-100,0)</f>
        <v>-2</v>
      </c>
      <c r="W83" s="39" t="n">
        <f aca="false">ROUND(L83*100/Q83-100,0)</f>
        <v>-5</v>
      </c>
      <c r="X83" s="39" t="n">
        <f aca="false">ROUND(O83*100/Q83-100,0)</f>
        <v>8</v>
      </c>
      <c r="Y83" s="85" t="n">
        <f aca="false">Q83/1.2</f>
        <v>462.03</v>
      </c>
      <c r="Z83" s="85" t="n">
        <f aca="false">Q83*1.2</f>
        <v>665.33</v>
      </c>
      <c r="AA83" s="86" t="n">
        <f aca="false">AND((I83)&gt;=MIN(Y83),(I83)&lt;=MAX(Z83))</f>
        <v>1</v>
      </c>
      <c r="AB83" s="86" t="n">
        <f aca="false">AND((L83)&gt;=MIN(Y83),(L83)&lt;=MAX(Z83))</f>
        <v>1</v>
      </c>
      <c r="AC83" s="86" t="n">
        <f aca="false">AND((O83)&gt;=MIN(Y83),(O83)&lt;=MAX(Z83))</f>
        <v>1</v>
      </c>
      <c r="AD83" s="95" t="s">
        <v>877</v>
      </c>
      <c r="AE83" s="88" t="n">
        <f aca="false">649/1.2</f>
        <v>540.83</v>
      </c>
      <c r="AF83" s="88" t="n">
        <f aca="false">AE83*F83</f>
        <v>275823.3</v>
      </c>
      <c r="AG83" s="95" t="s">
        <v>878</v>
      </c>
      <c r="AH83" s="88" t="n">
        <f aca="false">14927/20/1.2</f>
        <v>621.96</v>
      </c>
      <c r="AI83" s="89" t="n">
        <f aca="false">AH83*F83</f>
        <v>317199.6</v>
      </c>
      <c r="AJ83" s="95" t="s">
        <v>386</v>
      </c>
      <c r="AK83" s="88" t="n">
        <f aca="false">12980/20/1.2</f>
        <v>540.83</v>
      </c>
      <c r="AL83" s="89" t="n">
        <f aca="false">AK83*F83</f>
        <v>275823.3</v>
      </c>
      <c r="AM83" s="91" t="n">
        <f aca="false">AVERAGE(AE83,AH83,AK83)</f>
        <v>567.87</v>
      </c>
      <c r="AN83" s="91" t="n">
        <f aca="false">((G83-AM83)/AM83)*100</f>
        <v>-2.36</v>
      </c>
      <c r="AO83" s="92" t="n">
        <f aca="false">AM83/1.2</f>
        <v>473.23</v>
      </c>
      <c r="AP83" s="92" t="n">
        <f aca="false">AM83*1.2</f>
        <v>681.44</v>
      </c>
      <c r="AQ83" s="86" t="n">
        <f aca="false">AND((AE83)&gt;=MIN(AO83),(AE83)&lt;=MAX(AP83))</f>
        <v>1</v>
      </c>
      <c r="AR83" s="86" t="n">
        <f aca="false">AND((AH83)&gt;=MIN(AO83),(AH83)&lt;=MAX(AP83))</f>
        <v>1</v>
      </c>
      <c r="AS83" s="86" t="n">
        <f aca="false">AND((AK83)&gt;=MIN(AO83),(AK83)&lt;=MAX(AP83))</f>
        <v>1</v>
      </c>
    </row>
    <row r="84" s="38" customFormat="true" ht="104.25" hidden="false" customHeight="true" outlineLevel="0" collapsed="false">
      <c r="A84" s="28" t="n">
        <v>78</v>
      </c>
      <c r="B84" s="104" t="s">
        <v>879</v>
      </c>
      <c r="C84" s="215"/>
      <c r="D84" s="60" t="s">
        <v>389</v>
      </c>
      <c r="E84" s="58" t="s">
        <v>27</v>
      </c>
      <c r="F84" s="59" t="n">
        <v>120</v>
      </c>
      <c r="G84" s="32" t="n">
        <f aca="false">Q84</f>
        <v>650.79</v>
      </c>
      <c r="H84" s="42" t="s">
        <v>390</v>
      </c>
      <c r="I84" s="34" t="n">
        <f aca="false">15200/17/1.2</f>
        <v>745.1</v>
      </c>
      <c r="J84" s="34" t="n">
        <f aca="false">F84*I84</f>
        <v>89412</v>
      </c>
      <c r="K84" s="42" t="s">
        <v>391</v>
      </c>
      <c r="L84" s="34" t="n">
        <f aca="false">6190/8/1.2</f>
        <v>644.79</v>
      </c>
      <c r="M84" s="34" t="n">
        <f aca="false">F84*L84</f>
        <v>77374.8</v>
      </c>
      <c r="N84" s="42" t="s">
        <v>392</v>
      </c>
      <c r="O84" s="34" t="n">
        <f aca="false">12857/20/1.2*1.05</f>
        <v>562.49</v>
      </c>
      <c r="P84" s="34" t="n">
        <f aca="false">F84*O84</f>
        <v>67498.8</v>
      </c>
      <c r="Q84" s="35" t="n">
        <f aca="false">AVERAGE(I84,L84,O84)</f>
        <v>650.79</v>
      </c>
      <c r="R84" s="36" t="n">
        <f aca="false">G84*100/Q84-100</f>
        <v>0</v>
      </c>
      <c r="S84" s="35" t="n">
        <f aca="false">Q84*F84</f>
        <v>78094.8</v>
      </c>
      <c r="T84" s="37"/>
      <c r="V84" s="39" t="n">
        <f aca="false">ROUND(I84*100/Q84-100,0)</f>
        <v>14</v>
      </c>
      <c r="W84" s="39" t="n">
        <f aca="false">ROUND(L84*100/Q84-100,0)</f>
        <v>-1</v>
      </c>
      <c r="X84" s="39" t="n">
        <f aca="false">ROUND(O84*100/Q84-100,0)</f>
        <v>-14</v>
      </c>
      <c r="Y84" s="85" t="n">
        <f aca="false">Q84/1.2</f>
        <v>542.33</v>
      </c>
      <c r="Z84" s="85" t="n">
        <f aca="false">Q84*1.2</f>
        <v>780.95</v>
      </c>
      <c r="AA84" s="86" t="n">
        <f aca="false">AND((I84)&gt;=MIN(Y84),(I84)&lt;=MAX(Z84))</f>
        <v>1</v>
      </c>
      <c r="AB84" s="86" t="n">
        <f aca="false">AND((L84)&gt;=MIN(Y84),(L84)&lt;=MAX(Z84))</f>
        <v>1</v>
      </c>
      <c r="AC84" s="86" t="n">
        <f aca="false">AND((O84)&gt;=MIN(Y84),(O84)&lt;=MAX(Z84))</f>
        <v>1</v>
      </c>
      <c r="AD84" s="95" t="s">
        <v>877</v>
      </c>
      <c r="AE84" s="88" t="n">
        <f aca="false">569/1.2</f>
        <v>474.17</v>
      </c>
      <c r="AF84" s="88" t="n">
        <f aca="false">AE84*F84</f>
        <v>56900.4</v>
      </c>
      <c r="AG84" s="95" t="s">
        <v>878</v>
      </c>
      <c r="AH84" s="88" t="n">
        <f aca="false">13087/20/1.2</f>
        <v>545.29</v>
      </c>
      <c r="AI84" s="89" t="n">
        <f aca="false">AH84*F84</f>
        <v>65434.8</v>
      </c>
      <c r="AJ84" s="95" t="s">
        <v>880</v>
      </c>
      <c r="AK84" s="88" t="n">
        <f aca="false">11380/20/1.2</f>
        <v>474.17</v>
      </c>
      <c r="AL84" s="89" t="n">
        <f aca="false">AK84*F84</f>
        <v>56900.4</v>
      </c>
      <c r="AM84" s="91" t="n">
        <f aca="false">AVERAGE(AE84,AH84,AK84)</f>
        <v>497.88</v>
      </c>
      <c r="AN84" s="91" t="n">
        <f aca="false">((G84-AM84)/AM84)*100</f>
        <v>30.71</v>
      </c>
      <c r="AO84" s="92" t="n">
        <f aca="false">AM84/1.2</f>
        <v>414.9</v>
      </c>
      <c r="AP84" s="92" t="n">
        <f aca="false">AM84*1.2</f>
        <v>597.46</v>
      </c>
      <c r="AQ84" s="86" t="n">
        <f aca="false">AND((AE84)&gt;=MIN(AO84),(AE84)&lt;=MAX(AP84))</f>
        <v>1</v>
      </c>
      <c r="AR84" s="86" t="n">
        <f aca="false">AND((AH84)&gt;=MIN(AO84),(AH84)&lt;=MAX(AP84))</f>
        <v>1</v>
      </c>
      <c r="AS84" s="86" t="n">
        <f aca="false">AND((AK84)&gt;=MIN(AO84),(AK84)&lt;=MAX(AP84))</f>
        <v>1</v>
      </c>
    </row>
    <row r="85" s="38" customFormat="true" ht="104.25" hidden="false" customHeight="true" outlineLevel="0" collapsed="false">
      <c r="A85" s="28" t="n">
        <v>79</v>
      </c>
      <c r="B85" s="104" t="s">
        <v>881</v>
      </c>
      <c r="C85" s="215"/>
      <c r="D85" s="60" t="s">
        <v>393</v>
      </c>
      <c r="E85" s="58" t="s">
        <v>27</v>
      </c>
      <c r="F85" s="59" t="n">
        <v>120</v>
      </c>
      <c r="G85" s="32" t="n">
        <f aca="false">Q85</f>
        <v>953.86</v>
      </c>
      <c r="H85" s="42" t="s">
        <v>394</v>
      </c>
      <c r="I85" s="34" t="n">
        <f aca="false">21420/17/1.2</f>
        <v>1050</v>
      </c>
      <c r="J85" s="34" t="n">
        <f aca="false">F85*I85</f>
        <v>126000</v>
      </c>
      <c r="K85" s="42" t="s">
        <v>395</v>
      </c>
      <c r="L85" s="34" t="n">
        <f aca="false">1135/1.2</f>
        <v>945.83</v>
      </c>
      <c r="M85" s="34" t="n">
        <f aca="false">F85*L85</f>
        <v>113499.6</v>
      </c>
      <c r="N85" s="42" t="s">
        <v>396</v>
      </c>
      <c r="O85" s="34" t="n">
        <f aca="false">935/900*1000/1.2</f>
        <v>865.74</v>
      </c>
      <c r="P85" s="34" t="n">
        <f aca="false">F85*O85</f>
        <v>103888.8</v>
      </c>
      <c r="Q85" s="35" t="n">
        <f aca="false">AVERAGE(I85,L85,O85)</f>
        <v>953.86</v>
      </c>
      <c r="R85" s="36" t="n">
        <f aca="false">G85*100/Q85-100</f>
        <v>0</v>
      </c>
      <c r="S85" s="35" t="n">
        <f aca="false">Q85*F85</f>
        <v>114463.2</v>
      </c>
      <c r="T85" s="37"/>
      <c r="V85" s="39" t="n">
        <f aca="false">ROUND(I85*100/Q85-100,0)</f>
        <v>10</v>
      </c>
      <c r="W85" s="39" t="n">
        <f aca="false">ROUND(L85*100/Q85-100,0)</f>
        <v>-1</v>
      </c>
      <c r="X85" s="39" t="n">
        <f aca="false">ROUND(O85*100/Q85-100,0)</f>
        <v>-9</v>
      </c>
      <c r="Y85" s="85" t="n">
        <f aca="false">Q85/1.2</f>
        <v>794.88</v>
      </c>
      <c r="Z85" s="85" t="n">
        <f aca="false">Q85*1.2</f>
        <v>1144.63</v>
      </c>
      <c r="AA85" s="86" t="n">
        <f aca="false">AND((I85)&gt;=MIN(Y85),(I85)&lt;=MAX(Z85))</f>
        <v>1</v>
      </c>
      <c r="AB85" s="86" t="n">
        <f aca="false">AND((L85)&gt;=MIN(Y85),(L85)&lt;=MAX(Z85))</f>
        <v>1</v>
      </c>
      <c r="AC85" s="86" t="n">
        <f aca="false">AND((O85)&gt;=MIN(Y85),(O85)&lt;=MAX(Z85))</f>
        <v>1</v>
      </c>
      <c r="AD85" s="95" t="s">
        <v>877</v>
      </c>
      <c r="AE85" s="88" t="n">
        <f aca="false">697/1.2</f>
        <v>580.83</v>
      </c>
      <c r="AF85" s="88" t="n">
        <f aca="false">AE85*F85</f>
        <v>69699.6</v>
      </c>
      <c r="AG85" s="95" t="s">
        <v>878</v>
      </c>
      <c r="AH85" s="88" t="n">
        <f aca="false">15847/20/1.2</f>
        <v>660.29</v>
      </c>
      <c r="AI85" s="89" t="n">
        <f aca="false">AH85*F85</f>
        <v>79234.8</v>
      </c>
      <c r="AJ85" s="95" t="s">
        <v>882</v>
      </c>
      <c r="AK85" s="88" t="n">
        <f aca="false">13940/20/1.2</f>
        <v>580.83</v>
      </c>
      <c r="AL85" s="89" t="n">
        <f aca="false">AK85*F85</f>
        <v>69699.6</v>
      </c>
      <c r="AM85" s="91" t="n">
        <f aca="false">AVERAGE(AE85,AH85,AK85)</f>
        <v>607.32</v>
      </c>
      <c r="AN85" s="91" t="n">
        <f aca="false">((G85-AM85)/AM85)*100</f>
        <v>57.06</v>
      </c>
      <c r="AO85" s="92" t="n">
        <f aca="false">AM85/1.2</f>
        <v>506.1</v>
      </c>
      <c r="AP85" s="92" t="n">
        <f aca="false">AM85*1.2</f>
        <v>728.78</v>
      </c>
      <c r="AQ85" s="86" t="n">
        <f aca="false">AND((AE85)&gt;=MIN(AO85),(AE85)&lt;=MAX(AP85))</f>
        <v>1</v>
      </c>
      <c r="AR85" s="86" t="n">
        <f aca="false">AND((AH85)&gt;=MIN(AO85),(AH85)&lt;=MAX(AP85))</f>
        <v>1</v>
      </c>
      <c r="AS85" s="86" t="n">
        <f aca="false">AND((AK85)&gt;=MIN(AO85),(AK85)&lt;=MAX(AP85))</f>
        <v>1</v>
      </c>
    </row>
    <row r="86" s="38" customFormat="true" ht="104.25" hidden="false" customHeight="true" outlineLevel="0" collapsed="false">
      <c r="A86" s="28" t="n">
        <v>80</v>
      </c>
      <c r="B86" s="104" t="s">
        <v>883</v>
      </c>
      <c r="C86" s="215"/>
      <c r="D86" s="60" t="s">
        <v>397</v>
      </c>
      <c r="E86" s="58" t="s">
        <v>27</v>
      </c>
      <c r="F86" s="59" t="n">
        <v>90</v>
      </c>
      <c r="G86" s="32" t="n">
        <f aca="false">Q86</f>
        <v>682.1</v>
      </c>
      <c r="H86" s="42" t="s">
        <v>398</v>
      </c>
      <c r="I86" s="34" t="n">
        <f aca="false">17400/20/1.2</f>
        <v>725</v>
      </c>
      <c r="J86" s="34" t="n">
        <f aca="false">F86*I86</f>
        <v>65250</v>
      </c>
      <c r="K86" s="42" t="s">
        <v>399</v>
      </c>
      <c r="L86" s="34" t="n">
        <f aca="false">797/900*1000/1.2</f>
        <v>737.96</v>
      </c>
      <c r="M86" s="34" t="n">
        <f aca="false">F86*L86</f>
        <v>66416.4</v>
      </c>
      <c r="N86" s="42" t="s">
        <v>400</v>
      </c>
      <c r="O86" s="34" t="n">
        <f aca="false">700/1.2</f>
        <v>583.33</v>
      </c>
      <c r="P86" s="34" t="n">
        <f aca="false">F86*O86</f>
        <v>52499.7</v>
      </c>
      <c r="Q86" s="35" t="n">
        <f aca="false">AVERAGE(I86,L86,O86)</f>
        <v>682.1</v>
      </c>
      <c r="R86" s="36" t="n">
        <f aca="false">G86*100/Q86-100</f>
        <v>0</v>
      </c>
      <c r="S86" s="35" t="n">
        <f aca="false">Q86*F86</f>
        <v>61389</v>
      </c>
      <c r="T86" s="37"/>
      <c r="V86" s="39" t="n">
        <f aca="false">ROUND(I86*100/Q86-100,0)</f>
        <v>6</v>
      </c>
      <c r="W86" s="39" t="n">
        <f aca="false">ROUND(L86*100/Q86-100,0)</f>
        <v>8</v>
      </c>
      <c r="X86" s="39" t="n">
        <f aca="false">ROUND(O86*100/Q86-100,0)</f>
        <v>-14</v>
      </c>
      <c r="Y86" s="85" t="n">
        <f aca="false">Q86/1.2</f>
        <v>568.42</v>
      </c>
      <c r="Z86" s="85" t="n">
        <f aca="false">Q86*1.2</f>
        <v>818.52</v>
      </c>
      <c r="AA86" s="86" t="n">
        <f aca="false">AND((I86)&gt;=MIN(Y86),(I86)&lt;=MAX(Z86))</f>
        <v>1</v>
      </c>
      <c r="AB86" s="86" t="n">
        <f aca="false">AND((L86)&gt;=MIN(Y86),(L86)&lt;=MAX(Z86))</f>
        <v>1</v>
      </c>
      <c r="AC86" s="86" t="n">
        <f aca="false">AND((O86)&gt;=MIN(Y86),(O86)&lt;=MAX(Z86))</f>
        <v>1</v>
      </c>
      <c r="AD86" s="95" t="s">
        <v>877</v>
      </c>
      <c r="AE86" s="88" t="n">
        <f aca="false">569/1.2</f>
        <v>474.17</v>
      </c>
      <c r="AF86" s="88" t="n">
        <f aca="false">AE86*F86</f>
        <v>42675.3</v>
      </c>
      <c r="AG86" s="95" t="s">
        <v>878</v>
      </c>
      <c r="AH86" s="88" t="n">
        <f aca="false">13087/20/1.2</f>
        <v>545.29</v>
      </c>
      <c r="AI86" s="89" t="n">
        <f aca="false">AH86*F86</f>
        <v>49076.1</v>
      </c>
      <c r="AJ86" s="95" t="s">
        <v>884</v>
      </c>
      <c r="AK86" s="88" t="n">
        <f aca="false">11380/1.2/20</f>
        <v>474.17</v>
      </c>
      <c r="AL86" s="89" t="n">
        <f aca="false">AK86*F86</f>
        <v>42675.3</v>
      </c>
      <c r="AM86" s="91" t="n">
        <f aca="false">AVERAGE(AE86,AH86,AK86)</f>
        <v>497.88</v>
      </c>
      <c r="AN86" s="91" t="n">
        <f aca="false">((G86-AM86)/AM86)*100</f>
        <v>37</v>
      </c>
      <c r="AO86" s="92" t="n">
        <f aca="false">AM86/1.2</f>
        <v>414.9</v>
      </c>
      <c r="AP86" s="92" t="n">
        <f aca="false">AM86*1.2</f>
        <v>597.46</v>
      </c>
      <c r="AQ86" s="86" t="n">
        <f aca="false">AND((AE86)&gt;=MIN(AO86),(AE86)&lt;=MAX(AP86))</f>
        <v>1</v>
      </c>
      <c r="AR86" s="86" t="n">
        <f aca="false">AND((AH86)&gt;=MIN(AO86),(AH86)&lt;=MAX(AP86))</f>
        <v>1</v>
      </c>
      <c r="AS86" s="86" t="n">
        <f aca="false">AND((AK86)&gt;=MIN(AO86),(AK86)&lt;=MAX(AP86))</f>
        <v>1</v>
      </c>
    </row>
    <row r="87" s="38" customFormat="true" ht="104.25" hidden="false" customHeight="true" outlineLevel="0" collapsed="false">
      <c r="A87" s="28" t="n">
        <v>81</v>
      </c>
      <c r="B87" s="104" t="s">
        <v>885</v>
      </c>
      <c r="C87" s="215"/>
      <c r="D87" s="60" t="s">
        <v>401</v>
      </c>
      <c r="E87" s="58" t="s">
        <v>27</v>
      </c>
      <c r="F87" s="59" t="n">
        <v>25</v>
      </c>
      <c r="G87" s="32" t="n">
        <f aca="false">Q87</f>
        <v>1140.26</v>
      </c>
      <c r="H87" s="42" t="s">
        <v>402</v>
      </c>
      <c r="I87" s="34" t="n">
        <f aca="false">1521.93/1.2</f>
        <v>1268.28</v>
      </c>
      <c r="J87" s="34" t="n">
        <f aca="false">F87*I87</f>
        <v>31707</v>
      </c>
      <c r="K87" s="42" t="s">
        <v>403</v>
      </c>
      <c r="L87" s="34" t="n">
        <f aca="false">1386/1.2</f>
        <v>1155</v>
      </c>
      <c r="M87" s="34" t="n">
        <f aca="false">F87*L87</f>
        <v>28875</v>
      </c>
      <c r="N87" s="42" t="s">
        <v>404</v>
      </c>
      <c r="O87" s="34" t="n">
        <f aca="false">1197/1.2</f>
        <v>997.5</v>
      </c>
      <c r="P87" s="34" t="n">
        <f aca="false">F87*O87</f>
        <v>24937.5</v>
      </c>
      <c r="Q87" s="35" t="n">
        <f aca="false">AVERAGE(I87,L87,O87)</f>
        <v>1140.26</v>
      </c>
      <c r="R87" s="36" t="n">
        <f aca="false">G87*100/Q87-100</f>
        <v>0</v>
      </c>
      <c r="S87" s="35" t="n">
        <f aca="false">Q87*F87</f>
        <v>28506.5</v>
      </c>
      <c r="T87" s="37"/>
      <c r="V87" s="39" t="n">
        <f aca="false">ROUND(I87*100/Q87-100,0)</f>
        <v>11</v>
      </c>
      <c r="W87" s="39" t="n">
        <f aca="false">ROUND(L87*100/Q87-100,0)</f>
        <v>1</v>
      </c>
      <c r="X87" s="39" t="n">
        <f aca="false">ROUND(O87*100/Q87-100,0)</f>
        <v>-13</v>
      </c>
      <c r="Y87" s="85" t="n">
        <f aca="false">Q87/1.2</f>
        <v>950.22</v>
      </c>
      <c r="Z87" s="85" t="n">
        <f aca="false">Q87*1.2</f>
        <v>1368.31</v>
      </c>
      <c r="AA87" s="86" t="n">
        <f aca="false">AND((I87)&gt;=MIN(Y87),(I87)&lt;=MAX(Z87))</f>
        <v>1</v>
      </c>
      <c r="AB87" s="86" t="n">
        <f aca="false">AND((L87)&gt;=MIN(Y87),(L87)&lt;=MAX(Z87))</f>
        <v>1</v>
      </c>
      <c r="AC87" s="86" t="n">
        <f aca="false">AND((O87)&gt;=MIN(Y87),(O87)&lt;=MAX(Z87))</f>
        <v>1</v>
      </c>
      <c r="AD87" s="95" t="s">
        <v>886</v>
      </c>
      <c r="AE87" s="88" t="n">
        <f aca="false">13140/17/1.2</f>
        <v>644.12</v>
      </c>
      <c r="AF87" s="88" t="n">
        <f aca="false">AE87*F87</f>
        <v>16103</v>
      </c>
      <c r="AG87" s="95" t="s">
        <v>887</v>
      </c>
      <c r="AH87" s="88" t="n">
        <f aca="false">15191/20/1.2</f>
        <v>632.96</v>
      </c>
      <c r="AI87" s="89" t="n">
        <f aca="false">AH87*F87</f>
        <v>15824</v>
      </c>
      <c r="AJ87" s="94" t="s">
        <v>888</v>
      </c>
      <c r="AK87" s="88" t="n">
        <f aca="false">12000/20/1.2</f>
        <v>500</v>
      </c>
      <c r="AL87" s="89" t="n">
        <f aca="false">AK87*F87</f>
        <v>12500</v>
      </c>
      <c r="AM87" s="91" t="n">
        <f aca="false">AVERAGE(AE87,AH87,AK87)</f>
        <v>592.36</v>
      </c>
      <c r="AN87" s="91" t="n">
        <f aca="false">((G87-AM87)/AM87)*100</f>
        <v>92.49</v>
      </c>
      <c r="AO87" s="92" t="n">
        <f aca="false">AM87/1.2</f>
        <v>493.63</v>
      </c>
      <c r="AP87" s="92" t="n">
        <f aca="false">AM87*1.2</f>
        <v>710.83</v>
      </c>
      <c r="AQ87" s="86" t="n">
        <f aca="false">AND((AE87)&gt;=MIN(AO87),(AE87)&lt;=MAX(AP87))</f>
        <v>1</v>
      </c>
      <c r="AR87" s="86" t="n">
        <f aca="false">AND((AH87)&gt;=MIN(AO87),(AH87)&lt;=MAX(AP87))</f>
        <v>1</v>
      </c>
      <c r="AS87" s="86" t="n">
        <f aca="false">AND((AK87)&gt;=MIN(AO87),(AK87)&lt;=MAX(AP87))</f>
        <v>1</v>
      </c>
    </row>
    <row r="88" s="38" customFormat="true" ht="104.25" hidden="false" customHeight="true" outlineLevel="0" collapsed="false">
      <c r="A88" s="28" t="n">
        <v>82</v>
      </c>
      <c r="B88" s="104" t="s">
        <v>889</v>
      </c>
      <c r="C88" s="215"/>
      <c r="D88" s="60" t="s">
        <v>405</v>
      </c>
      <c r="E88" s="58" t="s">
        <v>27</v>
      </c>
      <c r="F88" s="59" t="n">
        <v>676</v>
      </c>
      <c r="G88" s="32" t="n">
        <f aca="false">Q88</f>
        <v>792.91</v>
      </c>
      <c r="H88" s="95" t="s">
        <v>406</v>
      </c>
      <c r="I88" s="34" t="n">
        <f aca="false">865/900*1000/1.2*1.05</f>
        <v>840.97</v>
      </c>
      <c r="J88" s="34" t="n">
        <f aca="false">F88*I88</f>
        <v>568495.72</v>
      </c>
      <c r="K88" s="106" t="s">
        <v>407</v>
      </c>
      <c r="L88" s="34" t="n">
        <f aca="false">16580/17/1.2</f>
        <v>812.75</v>
      </c>
      <c r="M88" s="34" t="n">
        <f aca="false">F88*L88</f>
        <v>549419</v>
      </c>
      <c r="N88" s="106" t="s">
        <v>398</v>
      </c>
      <c r="O88" s="34" t="n">
        <f aca="false">17400/20/1.2</f>
        <v>725</v>
      </c>
      <c r="P88" s="34" t="n">
        <f aca="false">F88*O88</f>
        <v>490100</v>
      </c>
      <c r="Q88" s="35" t="n">
        <f aca="false">AVERAGE(I88,L88,O88)</f>
        <v>792.91</v>
      </c>
      <c r="R88" s="36" t="n">
        <f aca="false">G88*100/Q88-100</f>
        <v>0</v>
      </c>
      <c r="S88" s="35" t="n">
        <f aca="false">Q88*F88</f>
        <v>536007.16</v>
      </c>
      <c r="T88" s="37"/>
      <c r="V88" s="39" t="n">
        <f aca="false">ROUND(I88*100/Q88-100,0)</f>
        <v>6</v>
      </c>
      <c r="W88" s="39" t="n">
        <f aca="false">ROUND(L88*100/Q88-100,0)</f>
        <v>3</v>
      </c>
      <c r="X88" s="39" t="n">
        <f aca="false">ROUND(O88*100/Q88-100,0)</f>
        <v>-9</v>
      </c>
      <c r="Y88" s="85" t="n">
        <f aca="false">Q88/1.2</f>
        <v>660.76</v>
      </c>
      <c r="Z88" s="85" t="n">
        <f aca="false">Q88*1.2</f>
        <v>951.49</v>
      </c>
      <c r="AA88" s="86" t="n">
        <f aca="false">AND((I88)&gt;=MIN(Y88),(I88)&lt;=MAX(Z88))</f>
        <v>1</v>
      </c>
      <c r="AB88" s="86" t="n">
        <f aca="false">AND((L88)&gt;=MIN(Y88),(L88)&lt;=MAX(Z88))</f>
        <v>1</v>
      </c>
      <c r="AC88" s="86" t="n">
        <f aca="false">AND((O88)&gt;=MIN(Y88),(O88)&lt;=MAX(Z88))</f>
        <v>1</v>
      </c>
      <c r="AD88" s="95" t="s">
        <v>877</v>
      </c>
      <c r="AE88" s="88" t="n">
        <f aca="false">569/1.2</f>
        <v>474.17</v>
      </c>
      <c r="AF88" s="88" t="n">
        <f aca="false">AE88*F88</f>
        <v>320538.92</v>
      </c>
      <c r="AG88" s="95" t="s">
        <v>878</v>
      </c>
      <c r="AH88" s="88" t="n">
        <f aca="false">13087/20/1.2</f>
        <v>545.29</v>
      </c>
      <c r="AI88" s="89" t="n">
        <f aca="false">AH88*F88</f>
        <v>368616.04</v>
      </c>
      <c r="AJ88" s="95" t="s">
        <v>890</v>
      </c>
      <c r="AK88" s="88" t="n">
        <f aca="false">11380/20/1.2</f>
        <v>474.17</v>
      </c>
      <c r="AL88" s="89" t="n">
        <f aca="false">AK88*F88</f>
        <v>320538.92</v>
      </c>
      <c r="AM88" s="91" t="n">
        <f aca="false">AVERAGE(AE88,AH88,AK88)</f>
        <v>497.88</v>
      </c>
      <c r="AN88" s="91" t="n">
        <f aca="false">((G88-AM88)/AM88)*100</f>
        <v>59.26</v>
      </c>
      <c r="AO88" s="92" t="n">
        <f aca="false">AM88/1.2</f>
        <v>414.9</v>
      </c>
      <c r="AP88" s="92" t="n">
        <f aca="false">AM88*1.2</f>
        <v>597.46</v>
      </c>
      <c r="AQ88" s="86" t="n">
        <f aca="false">AND((AE88)&gt;=MIN(AO88),(AE88)&lt;=MAX(AP88))</f>
        <v>1</v>
      </c>
      <c r="AR88" s="86" t="n">
        <f aca="false">AND((AH88)&gt;=MIN(AO88),(AH88)&lt;=MAX(AP88))</f>
        <v>1</v>
      </c>
      <c r="AS88" s="86" t="n">
        <f aca="false">AND((AK88)&gt;=MIN(AO88),(AK88)&lt;=MAX(AP88))</f>
        <v>1</v>
      </c>
    </row>
    <row r="89" s="38" customFormat="true" ht="104.25" hidden="false" customHeight="true" outlineLevel="0" collapsed="false">
      <c r="A89" s="28" t="n">
        <v>83</v>
      </c>
      <c r="B89" s="102"/>
      <c r="C89" s="220"/>
      <c r="D89" s="60" t="s">
        <v>438</v>
      </c>
      <c r="E89" s="58" t="s">
        <v>143</v>
      </c>
      <c r="F89" s="59" t="n">
        <v>75</v>
      </c>
      <c r="G89" s="32" t="n">
        <f aca="false">Q89</f>
        <v>275.76</v>
      </c>
      <c r="H89" s="42" t="s">
        <v>439</v>
      </c>
      <c r="I89" s="34" t="n">
        <f aca="false">326/1.2</f>
        <v>271.67</v>
      </c>
      <c r="J89" s="34" t="n">
        <f aca="false">F89*I89</f>
        <v>20375.25</v>
      </c>
      <c r="K89" s="42" t="s">
        <v>440</v>
      </c>
      <c r="L89" s="34" t="n">
        <f aca="false">351/1.2</f>
        <v>292.5</v>
      </c>
      <c r="M89" s="34" t="n">
        <f aca="false">F89*L89</f>
        <v>21937.5</v>
      </c>
      <c r="N89" s="42" t="s">
        <v>441</v>
      </c>
      <c r="O89" s="34" t="n">
        <f aca="false">315.74/1.2</f>
        <v>263.12</v>
      </c>
      <c r="P89" s="34" t="n">
        <f aca="false">F89*O89</f>
        <v>19734</v>
      </c>
      <c r="Q89" s="35" t="n">
        <f aca="false">AVERAGE(I89,L89,O89)</f>
        <v>275.76</v>
      </c>
      <c r="R89" s="36" t="n">
        <f aca="false">G89*100/Q89-100</f>
        <v>0</v>
      </c>
      <c r="S89" s="35" t="n">
        <f aca="false">Q89*F89</f>
        <v>20682</v>
      </c>
      <c r="T89" s="37"/>
      <c r="V89" s="39" t="n">
        <f aca="false">ROUND(I89*100/Q89-100,0)</f>
        <v>-1</v>
      </c>
      <c r="W89" s="39" t="n">
        <f aca="false">ROUND(L89*100/Q89-100,0)</f>
        <v>6</v>
      </c>
      <c r="X89" s="39" t="n">
        <f aca="false">ROUND(O89*100/Q89-100,0)</f>
        <v>-5</v>
      </c>
      <c r="Y89" s="85" t="n">
        <f aca="false">Q89/1.2</f>
        <v>229.8</v>
      </c>
      <c r="Z89" s="85" t="n">
        <f aca="false">Q89*1.2</f>
        <v>330.91</v>
      </c>
      <c r="AA89" s="86" t="n">
        <f aca="false">AND((I89)&gt;=MIN(Y89),(I89)&lt;=MAX(Z89))</f>
        <v>1</v>
      </c>
      <c r="AB89" s="86" t="n">
        <f aca="false">AND((L89)&gt;=MIN(Y89),(L89)&lt;=MAX(Z89))</f>
        <v>1</v>
      </c>
      <c r="AC89" s="86" t="n">
        <f aca="false">AND((O89)&gt;=MIN(Y89),(O89)&lt;=MAX(Z89))</f>
        <v>1</v>
      </c>
      <c r="AD89" s="95" t="s">
        <v>891</v>
      </c>
      <c r="AE89" s="88" t="n">
        <f aca="false">338/1.2</f>
        <v>281.67</v>
      </c>
      <c r="AF89" s="88" t="n">
        <f aca="false">AE89*F89</f>
        <v>21125.25</v>
      </c>
      <c r="AG89" s="95" t="s">
        <v>892</v>
      </c>
      <c r="AH89" s="88" t="n">
        <f aca="false">349/1.2</f>
        <v>290.83</v>
      </c>
      <c r="AI89" s="89" t="n">
        <f aca="false">AH89*F89</f>
        <v>21812.25</v>
      </c>
      <c r="AJ89" s="95" t="s">
        <v>893</v>
      </c>
      <c r="AK89" s="88" t="n">
        <f aca="false">953/3</f>
        <v>317.67</v>
      </c>
      <c r="AL89" s="89" t="n">
        <f aca="false">AK89*F89</f>
        <v>23825.25</v>
      </c>
      <c r="AM89" s="91" t="n">
        <f aca="false">AVERAGE(AE89,AH89,AK89)</f>
        <v>296.72</v>
      </c>
      <c r="AN89" s="91" t="n">
        <f aca="false">((G89-AM89)/AM89)*100</f>
        <v>-7.06</v>
      </c>
      <c r="AO89" s="92" t="n">
        <f aca="false">AM89/1.2</f>
        <v>247.27</v>
      </c>
      <c r="AP89" s="92" t="n">
        <f aca="false">AM89*1.2</f>
        <v>356.06</v>
      </c>
      <c r="AQ89" s="86" t="n">
        <f aca="false">AND((AE89)&gt;=MIN(AO89),(AE89)&lt;=MAX(AP89))</f>
        <v>1</v>
      </c>
      <c r="AR89" s="86" t="n">
        <f aca="false">AND((AH89)&gt;=MIN(AO89),(AH89)&lt;=MAX(AP89))</f>
        <v>1</v>
      </c>
      <c r="AS89" s="86" t="n">
        <f aca="false">AND((AK89)&gt;=MIN(AO89),(AK89)&lt;=MAX(AP89))</f>
        <v>1</v>
      </c>
    </row>
    <row r="90" s="38" customFormat="true" ht="104.25" hidden="false" customHeight="true" outlineLevel="0" collapsed="false">
      <c r="A90" s="28" t="n">
        <v>84</v>
      </c>
      <c r="B90" s="102"/>
      <c r="C90" s="220"/>
      <c r="D90" s="60" t="s">
        <v>470</v>
      </c>
      <c r="E90" s="58" t="s">
        <v>143</v>
      </c>
      <c r="F90" s="59" t="n">
        <v>230</v>
      </c>
      <c r="G90" s="32" t="n">
        <f aca="false">Q90</f>
        <v>556.89</v>
      </c>
      <c r="H90" s="33" t="s">
        <v>471</v>
      </c>
      <c r="I90" s="34" t="n">
        <f aca="false">670/1.2</f>
        <v>558.33</v>
      </c>
      <c r="J90" s="34" t="n">
        <f aca="false">F90*I90</f>
        <v>128415.9</v>
      </c>
      <c r="K90" s="33" t="s">
        <v>472</v>
      </c>
      <c r="L90" s="34" t="n">
        <f aca="false">667.8/1.2</f>
        <v>556.5</v>
      </c>
      <c r="M90" s="34" t="n">
        <f aca="false">F90*L90</f>
        <v>127995</v>
      </c>
      <c r="N90" s="33" t="s">
        <v>473</v>
      </c>
      <c r="O90" s="34" t="n">
        <f aca="false">667/1.2</f>
        <v>555.83</v>
      </c>
      <c r="P90" s="34" t="n">
        <f aca="false">F90*O90</f>
        <v>127840.9</v>
      </c>
      <c r="Q90" s="35" t="n">
        <f aca="false">AVERAGE(I90,L90,O90)</f>
        <v>556.89</v>
      </c>
      <c r="R90" s="36" t="n">
        <f aca="false">G90*100/Q90-100</f>
        <v>0</v>
      </c>
      <c r="S90" s="35" t="n">
        <f aca="false">Q90*F90</f>
        <v>128084.7</v>
      </c>
      <c r="T90" s="37"/>
      <c r="V90" s="39" t="n">
        <f aca="false">ROUND(I90*100/Q90-100,0)</f>
        <v>0</v>
      </c>
      <c r="W90" s="39" t="n">
        <f aca="false">ROUND(L90*100/Q90-100,0)</f>
        <v>-0</v>
      </c>
      <c r="X90" s="39" t="n">
        <f aca="false">ROUND(O90*100/Q90-100,0)</f>
        <v>-0</v>
      </c>
      <c r="Y90" s="85" t="n">
        <f aca="false">Q90/1.2</f>
        <v>464.08</v>
      </c>
      <c r="Z90" s="85" t="n">
        <f aca="false">Q90*1.2</f>
        <v>668.27</v>
      </c>
      <c r="AA90" s="86" t="n">
        <f aca="false">AND((I90)&gt;=MIN(Y90),(I90)&lt;=MAX(Z90))</f>
        <v>1</v>
      </c>
      <c r="AB90" s="86" t="n">
        <f aca="false">AND((L90)&gt;=MIN(Y90),(L90)&lt;=MAX(Z90))</f>
        <v>1</v>
      </c>
      <c r="AC90" s="86" t="n">
        <f aca="false">AND((O90)&gt;=MIN(Y90),(O90)&lt;=MAX(Z90))</f>
        <v>1</v>
      </c>
      <c r="AD90" s="95" t="s">
        <v>894</v>
      </c>
      <c r="AE90" s="88" t="n">
        <f aca="false">667/1.2</f>
        <v>555.83</v>
      </c>
      <c r="AF90" s="88" t="n">
        <f aca="false">AE90*F90</f>
        <v>127840.9</v>
      </c>
      <c r="AG90" s="95" t="s">
        <v>895</v>
      </c>
      <c r="AH90" s="88" t="n">
        <f aca="false">791/1.2</f>
        <v>659.17</v>
      </c>
      <c r="AI90" s="89" t="n">
        <f aca="false">AH90*F90</f>
        <v>151609.1</v>
      </c>
      <c r="AJ90" s="95" t="s">
        <v>896</v>
      </c>
      <c r="AK90" s="88" t="n">
        <f aca="false">700/1.2</f>
        <v>583.33</v>
      </c>
      <c r="AL90" s="89" t="n">
        <f aca="false">AK90*F90</f>
        <v>134165.9</v>
      </c>
      <c r="AM90" s="91" t="n">
        <f aca="false">AVERAGE(AE90,AH90,AK90)</f>
        <v>599.44</v>
      </c>
      <c r="AN90" s="91" t="n">
        <f aca="false">((G90-AM90)/AM90)*100</f>
        <v>-7.1</v>
      </c>
      <c r="AO90" s="92" t="n">
        <f aca="false">AM90/1.2</f>
        <v>499.53</v>
      </c>
      <c r="AP90" s="92" t="n">
        <f aca="false">AM90*1.2</f>
        <v>719.33</v>
      </c>
      <c r="AQ90" s="86" t="n">
        <f aca="false">AND((AE90)&gt;=MIN(AO90),(AE90)&lt;=MAX(AP90))</f>
        <v>1</v>
      </c>
      <c r="AR90" s="86" t="n">
        <f aca="false">AND((AH90)&gt;=MIN(AO90),(AH90)&lt;=MAX(AP90))</f>
        <v>1</v>
      </c>
      <c r="AS90" s="86" t="n">
        <f aca="false">AND((AK90)&gt;=MIN(AO90),(AK90)&lt;=MAX(AP90))</f>
        <v>1</v>
      </c>
    </row>
    <row r="91" s="38" customFormat="true" ht="104.25" hidden="false" customHeight="true" outlineLevel="0" collapsed="false">
      <c r="A91" s="28" t="n">
        <v>85</v>
      </c>
      <c r="B91" s="102"/>
      <c r="C91" s="220"/>
      <c r="D91" s="60" t="s">
        <v>495</v>
      </c>
      <c r="E91" s="58" t="s">
        <v>143</v>
      </c>
      <c r="F91" s="59" t="n">
        <v>180</v>
      </c>
      <c r="G91" s="32" t="n">
        <f aca="false">Q91</f>
        <v>310.28</v>
      </c>
      <c r="H91" s="42" t="s">
        <v>496</v>
      </c>
      <c r="I91" s="34" t="n">
        <f aca="false">369/1.2</f>
        <v>307.5</v>
      </c>
      <c r="J91" s="34" t="n">
        <f aca="false">F91*I91</f>
        <v>55350</v>
      </c>
      <c r="K91" s="42" t="s">
        <v>497</v>
      </c>
      <c r="L91" s="34" t="n">
        <f aca="false">379/1.2</f>
        <v>315.83</v>
      </c>
      <c r="M91" s="34" t="n">
        <f aca="false">F91*L91</f>
        <v>56849.4</v>
      </c>
      <c r="N91" s="42" t="s">
        <v>498</v>
      </c>
      <c r="O91" s="34" t="n">
        <f aca="false">369/1.2</f>
        <v>307.5</v>
      </c>
      <c r="P91" s="34" t="n">
        <f aca="false">F91*O91</f>
        <v>55350</v>
      </c>
      <c r="Q91" s="35" t="n">
        <f aca="false">AVERAGE(I91,L91,O91)</f>
        <v>310.28</v>
      </c>
      <c r="R91" s="36" t="n">
        <f aca="false">G91*100/Q91-100</f>
        <v>0</v>
      </c>
      <c r="S91" s="35" t="n">
        <f aca="false">Q91*F91</f>
        <v>55850.4</v>
      </c>
      <c r="T91" s="37"/>
      <c r="V91" s="39" t="n">
        <f aca="false">ROUND(I91*100/Q91-100,0)</f>
        <v>-1</v>
      </c>
      <c r="W91" s="39" t="n">
        <f aca="false">ROUND(L91*100/Q91-100,0)</f>
        <v>2</v>
      </c>
      <c r="X91" s="39" t="n">
        <f aca="false">ROUND(O91*100/Q91-100,0)</f>
        <v>-1</v>
      </c>
      <c r="Y91" s="85" t="n">
        <f aca="false">Q91/1.2</f>
        <v>258.57</v>
      </c>
      <c r="Z91" s="85" t="n">
        <f aca="false">Q91*1.2</f>
        <v>372.34</v>
      </c>
      <c r="AA91" s="86" t="n">
        <f aca="false">AND((I91)&gt;=MIN(Y91),(I91)&lt;=MAX(Z91))</f>
        <v>1</v>
      </c>
      <c r="AB91" s="86" t="n">
        <f aca="false">AND((L91)&gt;=MIN(Y91),(L91)&lt;=MAX(Z91))</f>
        <v>1</v>
      </c>
      <c r="AC91" s="86" t="n">
        <f aca="false">AND((O91)&gt;=MIN(Y91),(O91)&lt;=MAX(Z91))</f>
        <v>1</v>
      </c>
      <c r="AD91" s="95" t="s">
        <v>897</v>
      </c>
      <c r="AE91" s="88" t="n">
        <f aca="false">400/1.2</f>
        <v>333.33</v>
      </c>
      <c r="AF91" s="88" t="n">
        <f aca="false">AE91*F91</f>
        <v>59999.4</v>
      </c>
      <c r="AG91" s="95" t="s">
        <v>898</v>
      </c>
      <c r="AH91" s="88" t="n">
        <f aca="false">364.2/1.2</f>
        <v>303.5</v>
      </c>
      <c r="AI91" s="89" t="n">
        <f aca="false">AH91*F91</f>
        <v>54630</v>
      </c>
      <c r="AJ91" s="95" t="s">
        <v>899</v>
      </c>
      <c r="AK91" s="88" t="n">
        <f aca="false">379/1.2</f>
        <v>315.83</v>
      </c>
      <c r="AL91" s="89" t="n">
        <f aca="false">AK91*F91</f>
        <v>56849.4</v>
      </c>
      <c r="AM91" s="91" t="n">
        <f aca="false">AVERAGE(AE91,AH91,AK91)</f>
        <v>317.55</v>
      </c>
      <c r="AN91" s="91" t="n">
        <f aca="false">((G91-AM91)/AM91)*100</f>
        <v>-2.29</v>
      </c>
      <c r="AO91" s="92" t="n">
        <f aca="false">AM91/1.2</f>
        <v>264.63</v>
      </c>
      <c r="AP91" s="92" t="n">
        <f aca="false">AM91*1.2</f>
        <v>381.06</v>
      </c>
      <c r="AQ91" s="86" t="n">
        <f aca="false">AND((AE91)&gt;=MIN(AO91),(AE91)&lt;=MAX(AP91))</f>
        <v>1</v>
      </c>
      <c r="AR91" s="86" t="n">
        <f aca="false">AND((AH91)&gt;=MIN(AO91),(AH91)&lt;=MAX(AP91))</f>
        <v>1</v>
      </c>
      <c r="AS91" s="86" t="n">
        <f aca="false">AND((AK91)&gt;=MIN(AO91),(AK91)&lt;=MAX(AP91))</f>
        <v>1</v>
      </c>
    </row>
    <row r="92" s="38" customFormat="true" ht="104.25" hidden="false" customHeight="true" outlineLevel="0" collapsed="false">
      <c r="A92" s="28" t="n">
        <v>86</v>
      </c>
      <c r="B92" s="104" t="s">
        <v>900</v>
      </c>
      <c r="C92" s="224"/>
      <c r="D92" s="60" t="s">
        <v>503</v>
      </c>
      <c r="E92" s="58" t="s">
        <v>64</v>
      </c>
      <c r="F92" s="59" t="n">
        <v>1002</v>
      </c>
      <c r="G92" s="32" t="n">
        <f aca="false">Q92</f>
        <v>100</v>
      </c>
      <c r="H92" s="42" t="s">
        <v>504</v>
      </c>
      <c r="I92" s="34" t="n">
        <f aca="false">120/1.2</f>
        <v>100</v>
      </c>
      <c r="J92" s="34" t="n">
        <f aca="false">F92*I92</f>
        <v>100200</v>
      </c>
      <c r="K92" s="42" t="s">
        <v>505</v>
      </c>
      <c r="L92" s="34" t="n">
        <f aca="false">120/1.2</f>
        <v>100</v>
      </c>
      <c r="M92" s="34" t="n">
        <f aca="false">F92*L92</f>
        <v>100200</v>
      </c>
      <c r="N92" s="42" t="s">
        <v>506</v>
      </c>
      <c r="O92" s="34" t="n">
        <f aca="false">120/1.2</f>
        <v>100</v>
      </c>
      <c r="P92" s="34" t="n">
        <f aca="false">F92*O92</f>
        <v>100200</v>
      </c>
      <c r="Q92" s="35" t="n">
        <f aca="false">AVERAGE(I92,L92,O92)</f>
        <v>100</v>
      </c>
      <c r="R92" s="36" t="n">
        <f aca="false">G92*100/Q92-100</f>
        <v>0</v>
      </c>
      <c r="S92" s="35" t="n">
        <f aca="false">Q92*F92</f>
        <v>100200</v>
      </c>
      <c r="T92" s="37" t="s">
        <v>507</v>
      </c>
      <c r="V92" s="39" t="n">
        <f aca="false">ROUND(I92*100/Q92-100,0)</f>
        <v>0</v>
      </c>
      <c r="W92" s="39" t="n">
        <f aca="false">ROUND(L92*100/Q92-100,0)</f>
        <v>0</v>
      </c>
      <c r="X92" s="39" t="n">
        <f aca="false">ROUND(O92*100/Q92-100,0)</f>
        <v>0</v>
      </c>
      <c r="Y92" s="85" t="n">
        <f aca="false">Q92/1.2</f>
        <v>83.33</v>
      </c>
      <c r="Z92" s="85" t="n">
        <f aca="false">Q92*1.2</f>
        <v>120</v>
      </c>
      <c r="AA92" s="86" t="n">
        <f aca="false">AND((I92)&gt;=MIN(Y92),(I92)&lt;=MAX(Z92))</f>
        <v>1</v>
      </c>
      <c r="AB92" s="86" t="n">
        <f aca="false">AND((L92)&gt;=MIN(Y92),(L92)&lt;=MAX(Z92))</f>
        <v>1</v>
      </c>
      <c r="AC92" s="86" t="n">
        <f aca="false">AND((O92)&gt;=MIN(Y92),(O92)&lt;=MAX(Z92))</f>
        <v>1</v>
      </c>
      <c r="AD92" s="95"/>
      <c r="AE92" s="88"/>
      <c r="AF92" s="88" t="n">
        <f aca="false">AE92*F92</f>
        <v>0</v>
      </c>
      <c r="AG92" s="95"/>
      <c r="AH92" s="88"/>
      <c r="AI92" s="89" t="n">
        <f aca="false">AH92*F92</f>
        <v>0</v>
      </c>
      <c r="AJ92" s="95"/>
      <c r="AK92" s="88"/>
      <c r="AL92" s="89" t="n">
        <f aca="false">AK92*F92</f>
        <v>0</v>
      </c>
      <c r="AM92" s="91" t="e">
        <f aca="false">AVERAGE(AE92,AH92,AK92)</f>
        <v>#DIV/0!</v>
      </c>
      <c r="AN92" s="91" t="e">
        <f aca="false">((G92-AM92)/AM92)*100</f>
        <v>#DIV/0!</v>
      </c>
      <c r="AO92" s="92" t="e">
        <f aca="false">AM92/1.2</f>
        <v>#DIV/0!</v>
      </c>
      <c r="AP92" s="92" t="e">
        <f aca="false">AM92*1.2</f>
        <v>#DIV/0!</v>
      </c>
      <c r="AQ92" s="86" t="e">
        <f aca="false">AND((AE92)&gt;=MIN(AO92),(AE92)&lt;=MAX(AP92))</f>
        <v>#DIV/0!</v>
      </c>
      <c r="AR92" s="86" t="e">
        <f aca="false">AND((AH92)&gt;=MIN(AO92),(AH92)&lt;=MAX(AP92))</f>
        <v>#DIV/0!</v>
      </c>
      <c r="AS92" s="86" t="e">
        <f aca="false">AND((AK92)&gt;=MIN(AO92),(AK92)&lt;=MAX(AP92))</f>
        <v>#DIV/0!</v>
      </c>
    </row>
    <row r="93" s="38" customFormat="true" ht="104.25" hidden="false" customHeight="true" outlineLevel="0" collapsed="false">
      <c r="A93" s="28" t="n">
        <v>87</v>
      </c>
      <c r="B93" s="104" t="s">
        <v>900</v>
      </c>
      <c r="C93" s="224"/>
      <c r="D93" s="60" t="s">
        <v>508</v>
      </c>
      <c r="E93" s="58" t="s">
        <v>27</v>
      </c>
      <c r="F93" s="59" t="n">
        <v>265</v>
      </c>
      <c r="G93" s="32" t="n">
        <f aca="false">Q93</f>
        <v>69.39</v>
      </c>
      <c r="H93" s="42" t="s">
        <v>509</v>
      </c>
      <c r="I93" s="34" t="n">
        <f aca="false">88.8/1.2</f>
        <v>74</v>
      </c>
      <c r="J93" s="34" t="n">
        <f aca="false">F93*I93</f>
        <v>19610</v>
      </c>
      <c r="K93" s="42" t="s">
        <v>510</v>
      </c>
      <c r="L93" s="34" t="n">
        <f aca="false">2000/25/1.2</f>
        <v>66.67</v>
      </c>
      <c r="M93" s="34" t="n">
        <f aca="false">F93*L93</f>
        <v>17667.55</v>
      </c>
      <c r="N93" s="42" t="s">
        <v>511</v>
      </c>
      <c r="O93" s="34" t="n">
        <f aca="false">81/1.2</f>
        <v>67.5</v>
      </c>
      <c r="P93" s="34" t="n">
        <f aca="false">F93*O93</f>
        <v>17887.5</v>
      </c>
      <c r="Q93" s="35" t="n">
        <f aca="false">AVERAGE(I93,L93,O93)</f>
        <v>69.39</v>
      </c>
      <c r="R93" s="36" t="n">
        <f aca="false">G93*100/Q93-100</f>
        <v>0</v>
      </c>
      <c r="S93" s="35" t="n">
        <f aca="false">Q93*F93</f>
        <v>18388.35</v>
      </c>
      <c r="T93" s="37"/>
      <c r="V93" s="39" t="n">
        <f aca="false">ROUND(I93*100/Q93-100,0)</f>
        <v>7</v>
      </c>
      <c r="W93" s="39" t="n">
        <f aca="false">ROUND(L93*100/Q93-100,0)</f>
        <v>-4</v>
      </c>
      <c r="X93" s="39" t="n">
        <f aca="false">ROUND(O93*100/Q93-100,0)</f>
        <v>-3</v>
      </c>
      <c r="Y93" s="85" t="n">
        <f aca="false">Q93/1.2</f>
        <v>57.83</v>
      </c>
      <c r="Z93" s="85" t="n">
        <f aca="false">Q93*1.2</f>
        <v>83.27</v>
      </c>
      <c r="AA93" s="86" t="n">
        <f aca="false">AND((I93)&gt;=MIN(Y93),(I93)&lt;=MAX(Z93))</f>
        <v>1</v>
      </c>
      <c r="AB93" s="86" t="n">
        <f aca="false">AND((L93)&gt;=MIN(Y93),(L93)&lt;=MAX(Z93))</f>
        <v>1</v>
      </c>
      <c r="AC93" s="86" t="n">
        <f aca="false">AND((O93)&gt;=MIN(Y93),(O93)&lt;=MAX(Z93))</f>
        <v>1</v>
      </c>
      <c r="AD93" s="95"/>
      <c r="AE93" s="88"/>
      <c r="AF93" s="88" t="n">
        <f aca="false">AE93*F93</f>
        <v>0</v>
      </c>
      <c r="AG93" s="95"/>
      <c r="AH93" s="88"/>
      <c r="AI93" s="89" t="n">
        <f aca="false">AH93*F93</f>
        <v>0</v>
      </c>
      <c r="AJ93" s="95"/>
      <c r="AK93" s="88"/>
      <c r="AL93" s="89" t="n">
        <f aca="false">AK93*F93</f>
        <v>0</v>
      </c>
      <c r="AM93" s="91" t="e">
        <f aca="false">AVERAGE(AE93,AH93,AK93)</f>
        <v>#DIV/0!</v>
      </c>
      <c r="AN93" s="91" t="e">
        <f aca="false">((G93-AM93)/AM93)*100</f>
        <v>#DIV/0!</v>
      </c>
      <c r="AO93" s="92" t="e">
        <f aca="false">AM93/1.2</f>
        <v>#DIV/0!</v>
      </c>
      <c r="AP93" s="92" t="e">
        <f aca="false">AM93*1.2</f>
        <v>#DIV/0!</v>
      </c>
      <c r="AQ93" s="86" t="e">
        <f aca="false">AND((AE93)&gt;=MIN(AO93),(AE93)&lt;=MAX(AP93))</f>
        <v>#DIV/0!</v>
      </c>
      <c r="AR93" s="86" t="e">
        <f aca="false">AND((AH93)&gt;=MIN(AO93),(AH93)&lt;=MAX(AP93))</f>
        <v>#DIV/0!</v>
      </c>
      <c r="AS93" s="86" t="e">
        <f aca="false">AND((AK93)&gt;=MIN(AO93),(AK93)&lt;=MAX(AP93))</f>
        <v>#DIV/0!</v>
      </c>
    </row>
    <row r="94" s="38" customFormat="true" ht="104.25" hidden="false" customHeight="true" outlineLevel="0" collapsed="false">
      <c r="A94" s="28" t="n">
        <v>88</v>
      </c>
      <c r="B94" s="102" t="s">
        <v>901</v>
      </c>
      <c r="C94" s="218" t="s">
        <v>1143</v>
      </c>
      <c r="D94" s="60" t="s">
        <v>585</v>
      </c>
      <c r="E94" s="58" t="s">
        <v>143</v>
      </c>
      <c r="F94" s="59" t="n">
        <v>225</v>
      </c>
      <c r="G94" s="32" t="n">
        <f aca="false">Q94</f>
        <v>231.11</v>
      </c>
      <c r="H94" s="42" t="s">
        <v>586</v>
      </c>
      <c r="I94" s="34" t="n">
        <f aca="false">269/1.2</f>
        <v>224.17</v>
      </c>
      <c r="J94" s="34" t="n">
        <f aca="false">F94*I94</f>
        <v>50438.25</v>
      </c>
      <c r="K94" s="42" t="s">
        <v>587</v>
      </c>
      <c r="L94" s="34" t="n">
        <f aca="false">269/1.2</f>
        <v>224.17</v>
      </c>
      <c r="M94" s="34" t="n">
        <f aca="false">F94*L94</f>
        <v>50438.25</v>
      </c>
      <c r="N94" s="42" t="s">
        <v>588</v>
      </c>
      <c r="O94" s="34" t="n">
        <f aca="false">294/1.2</f>
        <v>245</v>
      </c>
      <c r="P94" s="34" t="n">
        <f aca="false">F94*O94</f>
        <v>55125</v>
      </c>
      <c r="Q94" s="35" t="n">
        <f aca="false">AVERAGE(I94,L94,O94)</f>
        <v>231.11</v>
      </c>
      <c r="R94" s="36" t="n">
        <f aca="false">G94*100/Q94-100</f>
        <v>0</v>
      </c>
      <c r="S94" s="35" t="n">
        <f aca="false">Q94*F94</f>
        <v>51999.75</v>
      </c>
      <c r="T94" s="37"/>
      <c r="V94" s="39" t="n">
        <f aca="false">ROUND(I94*100/Q94-100,0)</f>
        <v>-3</v>
      </c>
      <c r="W94" s="39" t="n">
        <f aca="false">ROUND(L94*100/Q94-100,0)</f>
        <v>-3</v>
      </c>
      <c r="X94" s="39" t="n">
        <f aca="false">ROUND(O94*100/Q94-100,0)</f>
        <v>6</v>
      </c>
      <c r="Y94" s="85" t="n">
        <f aca="false">Q94/1.2</f>
        <v>192.59</v>
      </c>
      <c r="Z94" s="85" t="n">
        <f aca="false">Q94*1.2</f>
        <v>277.33</v>
      </c>
      <c r="AA94" s="86" t="n">
        <f aca="false">AND((I94)&gt;=MIN(Y94),(I94)&lt;=MAX(Z94))</f>
        <v>1</v>
      </c>
      <c r="AB94" s="86" t="n">
        <f aca="false">AND((L94)&gt;=MIN(Y94),(L94)&lt;=MAX(Z94))</f>
        <v>1</v>
      </c>
      <c r="AC94" s="86" t="n">
        <f aca="false">AND((O94)&gt;=MIN(Y94),(O94)&lt;=MAX(Z94))</f>
        <v>1</v>
      </c>
      <c r="AD94" s="95"/>
      <c r="AE94" s="88"/>
      <c r="AF94" s="88" t="n">
        <f aca="false">AE94*F94</f>
        <v>0</v>
      </c>
      <c r="AG94" s="95"/>
      <c r="AH94" s="88"/>
      <c r="AI94" s="89" t="n">
        <f aca="false">AH94*F94</f>
        <v>0</v>
      </c>
      <c r="AJ94" s="95"/>
      <c r="AK94" s="88"/>
      <c r="AL94" s="89" t="n">
        <f aca="false">AK94*F94</f>
        <v>0</v>
      </c>
      <c r="AM94" s="91" t="e">
        <f aca="false">AVERAGE(AE94,AH94,AK94)</f>
        <v>#DIV/0!</v>
      </c>
      <c r="AN94" s="91" t="e">
        <f aca="false">((G94-AM94)/AM94)*100</f>
        <v>#DIV/0!</v>
      </c>
      <c r="AO94" s="92" t="e">
        <f aca="false">AM94/1.2</f>
        <v>#DIV/0!</v>
      </c>
      <c r="AP94" s="92" t="e">
        <f aca="false">AM94*1.2</f>
        <v>#DIV/0!</v>
      </c>
      <c r="AQ94" s="86" t="e">
        <f aca="false">AND((AE94)&gt;=MIN(AO94),(AE94)&lt;=MAX(AP94))</f>
        <v>#DIV/0!</v>
      </c>
      <c r="AR94" s="86" t="e">
        <f aca="false">AND((AH94)&gt;=MIN(AO94),(AH94)&lt;=MAX(AP94))</f>
        <v>#DIV/0!</v>
      </c>
      <c r="AS94" s="86" t="e">
        <f aca="false">AND((AK94)&gt;=MIN(AO94),(AK94)&lt;=MAX(AP94))</f>
        <v>#DIV/0!</v>
      </c>
    </row>
    <row r="95" s="38" customFormat="true" ht="104.25" hidden="false" customHeight="true" outlineLevel="0" collapsed="false">
      <c r="A95" s="28" t="n">
        <v>89</v>
      </c>
      <c r="B95" s="225" t="s">
        <v>1153</v>
      </c>
      <c r="C95" s="226"/>
      <c r="D95" s="62" t="s">
        <v>601</v>
      </c>
      <c r="E95" s="58" t="s">
        <v>27</v>
      </c>
      <c r="F95" s="59" t="n">
        <v>43.2</v>
      </c>
      <c r="G95" s="32" t="n">
        <f aca="false">Q95</f>
        <v>302.78</v>
      </c>
      <c r="H95" s="42" t="s">
        <v>602</v>
      </c>
      <c r="I95" s="34" t="n">
        <f aca="false">411/1.2</f>
        <v>342.5</v>
      </c>
      <c r="J95" s="34" t="n">
        <f aca="false">F95*I95</f>
        <v>14796</v>
      </c>
      <c r="K95" s="42" t="s">
        <v>603</v>
      </c>
      <c r="L95" s="34" t="n">
        <f aca="false">316/1.2</f>
        <v>263.33</v>
      </c>
      <c r="M95" s="34" t="n">
        <f aca="false">F95*L95</f>
        <v>11375.86</v>
      </c>
      <c r="N95" s="42" t="s">
        <v>604</v>
      </c>
      <c r="O95" s="34" t="n">
        <f aca="false">363/1.2</f>
        <v>302.5</v>
      </c>
      <c r="P95" s="34" t="n">
        <f aca="false">F95*O95</f>
        <v>13068</v>
      </c>
      <c r="Q95" s="35" t="n">
        <f aca="false">AVERAGE(I95,L95,O95)</f>
        <v>302.78</v>
      </c>
      <c r="R95" s="36" t="n">
        <f aca="false">G95*100/Q95-100</f>
        <v>0</v>
      </c>
      <c r="S95" s="35" t="n">
        <f aca="false">Q95*F95</f>
        <v>13080.1</v>
      </c>
      <c r="T95" s="37"/>
      <c r="V95" s="39" t="n">
        <f aca="false">ROUND(I95*100/Q95-100,0)</f>
        <v>13</v>
      </c>
      <c r="W95" s="39" t="n">
        <f aca="false">ROUND(L95*100/Q95-100,0)</f>
        <v>-13</v>
      </c>
      <c r="X95" s="39" t="n">
        <f aca="false">ROUND(O95*100/Q95-100,0)</f>
        <v>-0</v>
      </c>
      <c r="Y95" s="85" t="n">
        <f aca="false">Q95/1.2</f>
        <v>252.32</v>
      </c>
      <c r="Z95" s="85" t="n">
        <f aca="false">Q95*1.2</f>
        <v>363.34</v>
      </c>
      <c r="AA95" s="86" t="n">
        <f aca="false">AND((I95)&gt;=MIN(Y95),(I95)&lt;=MAX(Z95))</f>
        <v>1</v>
      </c>
      <c r="AB95" s="86" t="n">
        <f aca="false">AND((L95)&gt;=MIN(Y95),(L95)&lt;=MAX(Z95))</f>
        <v>1</v>
      </c>
      <c r="AC95" s="86" t="n">
        <f aca="false">AND((O95)&gt;=MIN(Y95),(O95)&lt;=MAX(Z95))</f>
        <v>1</v>
      </c>
      <c r="AD95" s="95"/>
      <c r="AE95" s="88"/>
      <c r="AF95" s="88" t="n">
        <f aca="false">AE95*F95</f>
        <v>0</v>
      </c>
      <c r="AG95" s="95"/>
      <c r="AH95" s="88"/>
      <c r="AI95" s="89" t="n">
        <f aca="false">AH95*F95</f>
        <v>0</v>
      </c>
      <c r="AJ95" s="95"/>
      <c r="AK95" s="88"/>
      <c r="AL95" s="89" t="n">
        <f aca="false">AK95*F95</f>
        <v>0</v>
      </c>
      <c r="AM95" s="91" t="e">
        <f aca="false">AVERAGE(AE95,AH95,AK95)</f>
        <v>#DIV/0!</v>
      </c>
      <c r="AN95" s="91" t="e">
        <f aca="false">((G95-AM95)/AM95)*100</f>
        <v>#DIV/0!</v>
      </c>
      <c r="AO95" s="92" t="e">
        <f aca="false">AM95/1.2</f>
        <v>#DIV/0!</v>
      </c>
      <c r="AP95" s="92" t="e">
        <f aca="false">AM95*1.2</f>
        <v>#DIV/0!</v>
      </c>
      <c r="AQ95" s="86" t="e">
        <f aca="false">AND((AE95)&gt;=MIN(AO95),(AE95)&lt;=MAX(AP95))</f>
        <v>#DIV/0!</v>
      </c>
      <c r="AR95" s="86" t="e">
        <f aca="false">AND((AH95)&gt;=MIN(AO95),(AH95)&lt;=MAX(AP95))</f>
        <v>#DIV/0!</v>
      </c>
      <c r="AS95" s="86" t="e">
        <f aca="false">AND((AK95)&gt;=MIN(AO95),(AK95)&lt;=MAX(AP95))</f>
        <v>#DIV/0!</v>
      </c>
    </row>
    <row r="96" s="38" customFormat="true" ht="104.25" hidden="false" customHeight="true" outlineLevel="0" collapsed="false">
      <c r="A96" s="28" t="n">
        <v>90</v>
      </c>
      <c r="B96" s="102"/>
      <c r="C96" s="220"/>
      <c r="D96" s="63" t="s">
        <v>630</v>
      </c>
      <c r="E96" s="64" t="s">
        <v>27</v>
      </c>
      <c r="F96" s="65" t="n">
        <v>10</v>
      </c>
      <c r="G96" s="32" t="n">
        <f aca="false">Q96</f>
        <v>792.15</v>
      </c>
      <c r="H96" s="42" t="s">
        <v>631</v>
      </c>
      <c r="I96" s="34" t="n">
        <f aca="false">387/400*1000/1.2</f>
        <v>806.25</v>
      </c>
      <c r="J96" s="34" t="n">
        <f aca="false">F96*I96</f>
        <v>8062.5</v>
      </c>
      <c r="K96" s="42" t="s">
        <v>632</v>
      </c>
      <c r="L96" s="34" t="n">
        <f aca="false">377.7/400*1000/1.2</f>
        <v>786.88</v>
      </c>
      <c r="M96" s="34" t="n">
        <f aca="false">F96*L96</f>
        <v>7868.8</v>
      </c>
      <c r="N96" s="42" t="s">
        <v>633</v>
      </c>
      <c r="O96" s="34" t="n">
        <f aca="false">376/400*1000/1.2</f>
        <v>783.33</v>
      </c>
      <c r="P96" s="34" t="n">
        <f aca="false">F96*O96</f>
        <v>7833.3</v>
      </c>
      <c r="Q96" s="35" t="n">
        <f aca="false">AVERAGE(I96,L96,O96)</f>
        <v>792.15</v>
      </c>
      <c r="R96" s="36" t="n">
        <f aca="false">G96*100/Q96-100</f>
        <v>0</v>
      </c>
      <c r="S96" s="35" t="n">
        <f aca="false">Q96*F96</f>
        <v>7921.5</v>
      </c>
      <c r="T96" s="37"/>
      <c r="V96" s="39" t="n">
        <f aca="false">ROUND(I96*100/Q96-100,0)</f>
        <v>2</v>
      </c>
      <c r="W96" s="39" t="n">
        <f aca="false">ROUND(L96*100/Q96-100,0)</f>
        <v>-1</v>
      </c>
      <c r="X96" s="39" t="n">
        <f aca="false">ROUND(O96*100/Q96-100,0)</f>
        <v>-1</v>
      </c>
      <c r="Y96" s="85" t="n">
        <f aca="false">Q96/1.2</f>
        <v>660.13</v>
      </c>
      <c r="Z96" s="85" t="n">
        <f aca="false">Q96*1.2</f>
        <v>950.58</v>
      </c>
      <c r="AA96" s="86" t="n">
        <f aca="false">AND((I96)&gt;=MIN(Y96),(I96)&lt;=MAX(Z96))</f>
        <v>1</v>
      </c>
      <c r="AB96" s="86" t="n">
        <f aca="false">AND((L96)&gt;=MIN(Y96),(L96)&lt;=MAX(Z96))</f>
        <v>1</v>
      </c>
      <c r="AC96" s="86" t="n">
        <f aca="false">AND((O96)&gt;=MIN(Y96),(O96)&lt;=MAX(Z96))</f>
        <v>1</v>
      </c>
      <c r="AD96" s="95" t="s">
        <v>903</v>
      </c>
      <c r="AE96" s="88" t="n">
        <f aca="false">415/400*1000/1.2</f>
        <v>864.58</v>
      </c>
      <c r="AF96" s="88" t="n">
        <f aca="false">AE96*F96</f>
        <v>8645.8</v>
      </c>
      <c r="AG96" s="95" t="s">
        <v>904</v>
      </c>
      <c r="AH96" s="88" t="n">
        <f aca="false">454/400*1000/1.2</f>
        <v>945.83</v>
      </c>
      <c r="AI96" s="89" t="n">
        <f aca="false">AH96*F96</f>
        <v>9458.3</v>
      </c>
      <c r="AJ96" s="95" t="s">
        <v>905</v>
      </c>
      <c r="AK96" s="88" t="n">
        <f aca="false">394/400*1000/1.2</f>
        <v>820.83</v>
      </c>
      <c r="AL96" s="89" t="n">
        <f aca="false">AK96*F96</f>
        <v>8208.3</v>
      </c>
      <c r="AM96" s="91" t="n">
        <f aca="false">AVERAGE(AE96,AH96,AK96)</f>
        <v>877.08</v>
      </c>
      <c r="AN96" s="91" t="n">
        <f aca="false">((G96-AM96)/AM96)*100</f>
        <v>-9.68</v>
      </c>
      <c r="AO96" s="92" t="n">
        <f aca="false">AM96/1.2</f>
        <v>730.9</v>
      </c>
      <c r="AP96" s="92" t="n">
        <f aca="false">AM96*1.2</f>
        <v>1052.5</v>
      </c>
      <c r="AQ96" s="86" t="n">
        <f aca="false">AND((AE96)&gt;=MIN(AO96),(AE96)&lt;=MAX(AP96))</f>
        <v>1</v>
      </c>
      <c r="AR96" s="86" t="n">
        <f aca="false">AND((AH96)&gt;=MIN(AO96),(AH96)&lt;=MAX(AP96))</f>
        <v>1</v>
      </c>
      <c r="AS96" s="86" t="n">
        <f aca="false">AND((AK96)&gt;=MIN(AO96),(AK96)&lt;=MAX(AP96))</f>
        <v>1</v>
      </c>
    </row>
    <row r="97" s="38" customFormat="true" ht="104.25" hidden="false" customHeight="true" outlineLevel="0" collapsed="false">
      <c r="A97" s="28" t="n">
        <v>91</v>
      </c>
      <c r="B97" s="104" t="s">
        <v>906</v>
      </c>
      <c r="C97" s="215"/>
      <c r="D97" s="63" t="s">
        <v>634</v>
      </c>
      <c r="E97" s="64" t="s">
        <v>27</v>
      </c>
      <c r="F97" s="65" t="n">
        <v>500</v>
      </c>
      <c r="G97" s="32" t="n">
        <f aca="false">Q97</f>
        <v>95.58</v>
      </c>
      <c r="H97" s="42" t="s">
        <v>635</v>
      </c>
      <c r="I97" s="34" t="n">
        <f aca="false">2825/25/1.2</f>
        <v>94.17</v>
      </c>
      <c r="J97" s="34" t="n">
        <f aca="false">F97*I97</f>
        <v>47085</v>
      </c>
      <c r="K97" s="42" t="s">
        <v>636</v>
      </c>
      <c r="L97" s="34" t="n">
        <f aca="false">2547/25/1.2</f>
        <v>84.9</v>
      </c>
      <c r="M97" s="34" t="n">
        <f aca="false">F97*L97</f>
        <v>42450</v>
      </c>
      <c r="N97" s="42" t="s">
        <v>637</v>
      </c>
      <c r="O97" s="34" t="n">
        <f aca="false">3230/25/1.2</f>
        <v>107.67</v>
      </c>
      <c r="P97" s="34" t="n">
        <f aca="false">F97*O97</f>
        <v>53835</v>
      </c>
      <c r="Q97" s="35" t="n">
        <f aca="false">AVERAGE(I97,L97,O97)</f>
        <v>95.58</v>
      </c>
      <c r="R97" s="36" t="n">
        <f aca="false">G97*100/Q97-100</f>
        <v>0</v>
      </c>
      <c r="S97" s="35" t="n">
        <f aca="false">Q97*F97</f>
        <v>47790</v>
      </c>
      <c r="T97" s="37"/>
      <c r="V97" s="39" t="n">
        <f aca="false">ROUND(I97*100/Q97-100,0)</f>
        <v>-1</v>
      </c>
      <c r="W97" s="39" t="n">
        <f aca="false">ROUND(L97*100/Q97-100,0)</f>
        <v>-11</v>
      </c>
      <c r="X97" s="39" t="n">
        <f aca="false">ROUND(O97*100/Q97-100,0)</f>
        <v>13</v>
      </c>
      <c r="Y97" s="85" t="n">
        <f aca="false">Q97/1.2</f>
        <v>79.65</v>
      </c>
      <c r="Z97" s="85" t="n">
        <f aca="false">Q97*1.2</f>
        <v>114.7</v>
      </c>
      <c r="AA97" s="86" t="n">
        <f aca="false">AND((I97)&gt;=MIN(Y97),(I97)&lt;=MAX(Z97))</f>
        <v>1</v>
      </c>
      <c r="AB97" s="86" t="n">
        <f aca="false">AND((L97)&gt;=MIN(Y97),(L97)&lt;=MAX(Z97))</f>
        <v>1</v>
      </c>
      <c r="AC97" s="86" t="n">
        <f aca="false">AND((O97)&gt;=MIN(Y97),(O97)&lt;=MAX(Z97))</f>
        <v>1</v>
      </c>
      <c r="AD97" s="95" t="s">
        <v>907</v>
      </c>
      <c r="AE97" s="88" t="n">
        <f aca="false">2150/25/1.2</f>
        <v>71.67</v>
      </c>
      <c r="AF97" s="88" t="n">
        <f aca="false">AE97*F97</f>
        <v>35835</v>
      </c>
      <c r="AG97" s="95" t="s">
        <v>908</v>
      </c>
      <c r="AH97" s="88" t="n">
        <f aca="false">2313/1.2/25</f>
        <v>77.1</v>
      </c>
      <c r="AI97" s="89" t="n">
        <f aca="false">AH97*F97</f>
        <v>38550</v>
      </c>
      <c r="AJ97" s="95" t="s">
        <v>909</v>
      </c>
      <c r="AK97" s="88" t="n">
        <f aca="false">2150/1.2/25</f>
        <v>71.67</v>
      </c>
      <c r="AL97" s="89" t="n">
        <f aca="false">AK97*F97</f>
        <v>35835</v>
      </c>
      <c r="AM97" s="91" t="n">
        <f aca="false">AVERAGE(AE97,AH97,AK97)</f>
        <v>73.48</v>
      </c>
      <c r="AN97" s="91" t="n">
        <f aca="false">((G97-AM97)/AM97)*100</f>
        <v>30.08</v>
      </c>
      <c r="AO97" s="92" t="n">
        <f aca="false">AM97/1.2</f>
        <v>61.23</v>
      </c>
      <c r="AP97" s="92" t="n">
        <f aca="false">AM97*1.2</f>
        <v>88.18</v>
      </c>
      <c r="AQ97" s="86" t="n">
        <f aca="false">AND((AE97)&gt;=MIN(AO97),(AE97)&lt;=MAX(AP97))</f>
        <v>1</v>
      </c>
      <c r="AR97" s="86" t="n">
        <f aca="false">AND((AH97)&gt;=MIN(AO97),(AH97)&lt;=MAX(AP97))</f>
        <v>1</v>
      </c>
      <c r="AS97" s="86" t="n">
        <f aca="false">AND((AK97)&gt;=MIN(AO97),(AK97)&lt;=MAX(AP97))</f>
        <v>1</v>
      </c>
    </row>
    <row r="98" s="38" customFormat="true" ht="104.25" hidden="false" customHeight="true" outlineLevel="0" collapsed="false">
      <c r="A98" s="28" t="n">
        <v>92</v>
      </c>
      <c r="B98" s="104" t="s">
        <v>910</v>
      </c>
      <c r="C98" s="215"/>
      <c r="D98" s="63" t="s">
        <v>638</v>
      </c>
      <c r="E98" s="64" t="s">
        <v>64</v>
      </c>
      <c r="F98" s="65" t="n">
        <v>0.08</v>
      </c>
      <c r="G98" s="32" t="n">
        <f aca="false">Q98</f>
        <v>2413.69</v>
      </c>
      <c r="H98" s="42" t="s">
        <v>639</v>
      </c>
      <c r="I98" s="34" t="n">
        <f aca="false">810/280*1000/1.2</f>
        <v>2410.71</v>
      </c>
      <c r="J98" s="34" t="n">
        <f aca="false">F98*I98</f>
        <v>192.86</v>
      </c>
      <c r="K98" s="42" t="s">
        <v>640</v>
      </c>
      <c r="L98" s="34" t="n">
        <f aca="false">803/280*1000/1.2</f>
        <v>2389.88</v>
      </c>
      <c r="M98" s="34" t="n">
        <f aca="false">F98*L98</f>
        <v>191.19</v>
      </c>
      <c r="N98" s="42" t="s">
        <v>641</v>
      </c>
      <c r="O98" s="34" t="n">
        <f aca="false">820/280*1000/1.2</f>
        <v>2440.48</v>
      </c>
      <c r="P98" s="34" t="n">
        <f aca="false">F98*O98</f>
        <v>195.24</v>
      </c>
      <c r="Q98" s="35" t="n">
        <f aca="false">AVERAGE(I98,L98,O98)</f>
        <v>2413.69</v>
      </c>
      <c r="R98" s="36" t="n">
        <f aca="false">G98*100/Q98-100</f>
        <v>0</v>
      </c>
      <c r="S98" s="35" t="n">
        <f aca="false">Q98*F98</f>
        <v>193.1</v>
      </c>
      <c r="T98" s="37"/>
      <c r="V98" s="39" t="n">
        <f aca="false">ROUND(I98*100/Q98-100,0)</f>
        <v>-0</v>
      </c>
      <c r="W98" s="39" t="n">
        <f aca="false">ROUND(L98*100/Q98-100,0)</f>
        <v>-1</v>
      </c>
      <c r="X98" s="39" t="n">
        <f aca="false">ROUND(O98*100/Q98-100,0)</f>
        <v>1</v>
      </c>
      <c r="Y98" s="85" t="n">
        <f aca="false">Q98/1.2</f>
        <v>2011.41</v>
      </c>
      <c r="Z98" s="85" t="n">
        <f aca="false">Q98*1.2</f>
        <v>2896.43</v>
      </c>
      <c r="AA98" s="86" t="n">
        <f aca="false">AND((I98)&gt;=MIN(Y98),(I98)&lt;=MAX(Z98))</f>
        <v>1</v>
      </c>
      <c r="AB98" s="86" t="n">
        <f aca="false">AND((L98)&gt;=MIN(Y98),(L98)&lt;=MAX(Z98))</f>
        <v>1</v>
      </c>
      <c r="AC98" s="86" t="n">
        <f aca="false">AND((O98)&gt;=MIN(Y98),(O98)&lt;=MAX(Z98))</f>
        <v>1</v>
      </c>
      <c r="AD98" s="95" t="s">
        <v>911</v>
      </c>
      <c r="AE98" s="88" t="n">
        <f aca="false">775/0.28/1.2</f>
        <v>2306.55</v>
      </c>
      <c r="AF98" s="88" t="n">
        <f aca="false">AE98*F98</f>
        <v>184.52</v>
      </c>
      <c r="AG98" s="95" t="s">
        <v>912</v>
      </c>
      <c r="AH98" s="88" t="n">
        <f aca="false">785/0.28/1.2</f>
        <v>2336.31</v>
      </c>
      <c r="AI98" s="89" t="n">
        <f aca="false">AH98*F98</f>
        <v>186.9</v>
      </c>
      <c r="AJ98" s="95" t="s">
        <v>913</v>
      </c>
      <c r="AK98" s="88" t="n">
        <f aca="false">701/0.28/1.2</f>
        <v>2086.31</v>
      </c>
      <c r="AL98" s="89" t="n">
        <f aca="false">AK98*F98</f>
        <v>166.9</v>
      </c>
      <c r="AM98" s="91" t="n">
        <f aca="false">AVERAGE(AE98,AH98,AK98)</f>
        <v>2243.06</v>
      </c>
      <c r="AN98" s="91" t="n">
        <f aca="false">((G98-AM98)/AM98)*100</f>
        <v>7.61</v>
      </c>
      <c r="AO98" s="92" t="n">
        <f aca="false">AM98/1.2</f>
        <v>1869.22</v>
      </c>
      <c r="AP98" s="92" t="n">
        <f aca="false">AM98*1.2</f>
        <v>2691.67</v>
      </c>
      <c r="AQ98" s="86" t="n">
        <f aca="false">AND((AE98)&gt;=MIN(AO98),(AE98)&lt;=MAX(AP98))</f>
        <v>1</v>
      </c>
      <c r="AR98" s="86" t="n">
        <f aca="false">AND((AH98)&gt;=MIN(AO98),(AH98)&lt;=MAX(AP98))</f>
        <v>1</v>
      </c>
      <c r="AS98" s="86" t="n">
        <f aca="false">AND((AK98)&gt;=MIN(AO98),(AK98)&lt;=MAX(AP98))</f>
        <v>1</v>
      </c>
    </row>
    <row r="99" s="38" customFormat="true" ht="104.25" hidden="false" customHeight="true" outlineLevel="0" collapsed="false">
      <c r="A99" s="28" t="n">
        <v>93</v>
      </c>
      <c r="B99" s="102"/>
      <c r="C99" s="220"/>
      <c r="D99" s="63" t="s">
        <v>642</v>
      </c>
      <c r="E99" s="64" t="s">
        <v>27</v>
      </c>
      <c r="F99" s="65" t="n">
        <v>3330</v>
      </c>
      <c r="G99" s="32" t="n">
        <f aca="false">Q99</f>
        <v>50.56</v>
      </c>
      <c r="H99" s="42" t="s">
        <v>643</v>
      </c>
      <c r="I99" s="34" t="n">
        <f aca="false">1500/25/1.2</f>
        <v>50</v>
      </c>
      <c r="J99" s="34" t="n">
        <f aca="false">F99*I99</f>
        <v>166500</v>
      </c>
      <c r="K99" s="42" t="s">
        <v>644</v>
      </c>
      <c r="L99" s="34" t="n">
        <f aca="false">1530/25/1.2</f>
        <v>51</v>
      </c>
      <c r="M99" s="34" t="n">
        <f aca="false">F99*L99</f>
        <v>169830</v>
      </c>
      <c r="N99" s="42" t="s">
        <v>645</v>
      </c>
      <c r="O99" s="34" t="n">
        <f aca="false">1520/25/1.2</f>
        <v>50.67</v>
      </c>
      <c r="P99" s="34" t="n">
        <f aca="false">F99*O99</f>
        <v>168731.1</v>
      </c>
      <c r="Q99" s="35" t="n">
        <f aca="false">AVERAGE(I99,L99,O99)</f>
        <v>50.56</v>
      </c>
      <c r="R99" s="36" t="n">
        <f aca="false">G99*100/Q99-100</f>
        <v>0</v>
      </c>
      <c r="S99" s="35" t="n">
        <f aca="false">Q99*F99</f>
        <v>168364.8</v>
      </c>
      <c r="T99" s="37"/>
      <c r="V99" s="39" t="n">
        <f aca="false">ROUND(I99*100/Q99-100,0)</f>
        <v>-1</v>
      </c>
      <c r="W99" s="39" t="n">
        <f aca="false">ROUND(L99*100/Q99-100,0)</f>
        <v>1</v>
      </c>
      <c r="X99" s="39" t="n">
        <f aca="false">ROUND(O99*100/Q99-100,0)</f>
        <v>0</v>
      </c>
      <c r="Y99" s="85" t="n">
        <f aca="false">Q99/1.2</f>
        <v>42.13</v>
      </c>
      <c r="Z99" s="85" t="n">
        <f aca="false">Q99*1.2</f>
        <v>60.67</v>
      </c>
      <c r="AA99" s="86" t="n">
        <f aca="false">AND((I99)&gt;=MIN(Y99),(I99)&lt;=MAX(Z99))</f>
        <v>1</v>
      </c>
      <c r="AB99" s="86" t="n">
        <f aca="false">AND((L99)&gt;=MIN(Y99),(L99)&lt;=MAX(Z99))</f>
        <v>1</v>
      </c>
      <c r="AC99" s="86" t="n">
        <f aca="false">AND((O99)&gt;=MIN(Y99),(O99)&lt;=MAX(Z99))</f>
        <v>1</v>
      </c>
      <c r="AD99" s="95" t="s">
        <v>914</v>
      </c>
      <c r="AE99" s="88" t="n">
        <f aca="false">1774/25/1.2</f>
        <v>59.13</v>
      </c>
      <c r="AF99" s="88" t="n">
        <f aca="false">AE99*F99</f>
        <v>196902.9</v>
      </c>
      <c r="AG99" s="95" t="s">
        <v>915</v>
      </c>
      <c r="AH99" s="88" t="n">
        <f aca="false">1406/25/1.2</f>
        <v>46.87</v>
      </c>
      <c r="AI99" s="89" t="n">
        <f aca="false">AH99*F99</f>
        <v>156077.1</v>
      </c>
      <c r="AJ99" s="95" t="s">
        <v>916</v>
      </c>
      <c r="AK99" s="88" t="n">
        <f aca="false">1530/1.2/25</f>
        <v>51</v>
      </c>
      <c r="AL99" s="89" t="n">
        <f aca="false">AK99*F99</f>
        <v>169830</v>
      </c>
      <c r="AM99" s="91" t="n">
        <f aca="false">AVERAGE(AE99,AH99,AK99)</f>
        <v>52.33</v>
      </c>
      <c r="AN99" s="91" t="n">
        <f aca="false">((G99-AM99)/AM99)*100</f>
        <v>-3.38</v>
      </c>
      <c r="AO99" s="92" t="n">
        <f aca="false">AM99/1.2</f>
        <v>43.61</v>
      </c>
      <c r="AP99" s="92" t="n">
        <f aca="false">AM99*1.2</f>
        <v>62.8</v>
      </c>
      <c r="AQ99" s="86" t="n">
        <f aca="false">AND((AE99)&gt;=MIN(AO99),(AE99)&lt;=MAX(AP99))</f>
        <v>1</v>
      </c>
      <c r="AR99" s="86" t="n">
        <f aca="false">AND((AH99)&gt;=MIN(AO99),(AH99)&lt;=MAX(AP99))</f>
        <v>1</v>
      </c>
      <c r="AS99" s="86" t="n">
        <f aca="false">AND((AK99)&gt;=MIN(AO99),(AK99)&lt;=MAX(AP99))</f>
        <v>1</v>
      </c>
    </row>
    <row r="100" s="38" customFormat="true" ht="104.25" hidden="false" customHeight="true" outlineLevel="0" collapsed="false">
      <c r="A100" s="28" t="n">
        <v>94</v>
      </c>
      <c r="B100" s="104" t="s">
        <v>917</v>
      </c>
      <c r="C100" s="215"/>
      <c r="D100" s="63" t="s">
        <v>646</v>
      </c>
      <c r="E100" s="64" t="s">
        <v>27</v>
      </c>
      <c r="F100" s="65" t="n">
        <v>3330</v>
      </c>
      <c r="G100" s="32" t="n">
        <f aca="false">Q100</f>
        <v>33.31</v>
      </c>
      <c r="H100" s="66" t="s">
        <v>647</v>
      </c>
      <c r="I100" s="34" t="n">
        <f aca="false">999/25/1.2</f>
        <v>33.3</v>
      </c>
      <c r="J100" s="34" t="n">
        <f aca="false">F100*I100</f>
        <v>110889</v>
      </c>
      <c r="K100" s="66" t="s">
        <v>648</v>
      </c>
      <c r="L100" s="34" t="n">
        <f aca="false">999/25/1.2</f>
        <v>33.3</v>
      </c>
      <c r="M100" s="34" t="n">
        <f aca="false">F100*L100</f>
        <v>110889</v>
      </c>
      <c r="N100" s="66" t="s">
        <v>647</v>
      </c>
      <c r="O100" s="34" t="n">
        <f aca="false">999.8/25/1.2</f>
        <v>33.33</v>
      </c>
      <c r="P100" s="34" t="n">
        <f aca="false">F100*O100</f>
        <v>110988.9</v>
      </c>
      <c r="Q100" s="35" t="n">
        <f aca="false">AVERAGE(I100,L100,O100)</f>
        <v>33.31</v>
      </c>
      <c r="R100" s="36" t="n">
        <f aca="false">G100*100/Q100-100</f>
        <v>0</v>
      </c>
      <c r="S100" s="35" t="n">
        <f aca="false">Q100*F100</f>
        <v>110922.3</v>
      </c>
      <c r="T100" s="37"/>
      <c r="V100" s="39" t="n">
        <f aca="false">ROUND(I100*100/Q100-100,0)</f>
        <v>-0</v>
      </c>
      <c r="W100" s="39" t="n">
        <f aca="false">ROUND(L100*100/Q100-100,0)</f>
        <v>-0</v>
      </c>
      <c r="X100" s="39" t="n">
        <f aca="false">ROUND(O100*100/Q100-100,0)</f>
        <v>0</v>
      </c>
      <c r="Y100" s="85" t="n">
        <f aca="false">Q100/1.2</f>
        <v>27.76</v>
      </c>
      <c r="Z100" s="85" t="n">
        <f aca="false">Q100*1.2</f>
        <v>39.97</v>
      </c>
      <c r="AA100" s="86" t="n">
        <f aca="false">AND((I100)&gt;=MIN(Y100),(I100)&lt;=MAX(Z100))</f>
        <v>1</v>
      </c>
      <c r="AB100" s="86" t="n">
        <f aca="false">AND((L100)&gt;=MIN(Y100),(L100)&lt;=MAX(Z100))</f>
        <v>1</v>
      </c>
      <c r="AC100" s="86" t="n">
        <f aca="false">AND((O100)&gt;=MIN(Y100),(O100)&lt;=MAX(Z100))</f>
        <v>1</v>
      </c>
      <c r="AD100" s="95" t="s">
        <v>918</v>
      </c>
      <c r="AE100" s="88" t="n">
        <f aca="false">44.8/1.2</f>
        <v>37.33</v>
      </c>
      <c r="AF100" s="88" t="n">
        <f aca="false">AE100*F100</f>
        <v>124308.9</v>
      </c>
      <c r="AG100" s="95" t="s">
        <v>919</v>
      </c>
      <c r="AH100" s="88" t="n">
        <f aca="false">1134/25/1.2</f>
        <v>37.8</v>
      </c>
      <c r="AI100" s="89" t="n">
        <f aca="false">AH100*F100</f>
        <v>125874</v>
      </c>
      <c r="AJ100" s="95" t="s">
        <v>643</v>
      </c>
      <c r="AK100" s="88" t="n">
        <f aca="false">999/25/1.2</f>
        <v>33.3</v>
      </c>
      <c r="AL100" s="89" t="n">
        <f aca="false">AK100*F100</f>
        <v>110889</v>
      </c>
      <c r="AM100" s="91" t="n">
        <f aca="false">AVERAGE(AE100,AH100,AK100)</f>
        <v>36.14</v>
      </c>
      <c r="AN100" s="91" t="n">
        <f aca="false">((G100-AM100)/AM100)*100</f>
        <v>-7.83</v>
      </c>
      <c r="AO100" s="92" t="n">
        <f aca="false">AM100/1.2</f>
        <v>30.12</v>
      </c>
      <c r="AP100" s="92" t="n">
        <f aca="false">AM100*1.2</f>
        <v>43.37</v>
      </c>
      <c r="AQ100" s="86" t="n">
        <f aca="false">AND((AE100)&gt;=MIN(AO100),(AE100)&lt;=MAX(AP100))</f>
        <v>1</v>
      </c>
      <c r="AR100" s="86" t="n">
        <f aca="false">AND((AH100)&gt;=MIN(AO100),(AH100)&lt;=MAX(AP100))</f>
        <v>1</v>
      </c>
      <c r="AS100" s="86" t="n">
        <f aca="false">AND((AK100)&gt;=MIN(AO100),(AK100)&lt;=MAX(AP100))</f>
        <v>1</v>
      </c>
    </row>
    <row r="101" s="38" customFormat="true" ht="104.25" hidden="false" customHeight="true" outlineLevel="0" collapsed="false">
      <c r="A101" s="28" t="n">
        <v>95</v>
      </c>
      <c r="B101" s="104" t="s">
        <v>920</v>
      </c>
      <c r="C101" s="215"/>
      <c r="D101" s="63" t="s">
        <v>649</v>
      </c>
      <c r="E101" s="64" t="s">
        <v>27</v>
      </c>
      <c r="F101" s="65" t="n">
        <v>1797.6</v>
      </c>
      <c r="G101" s="32" t="n">
        <f aca="false">Q101</f>
        <v>30.58</v>
      </c>
      <c r="H101" s="66" t="s">
        <v>650</v>
      </c>
      <c r="I101" s="34" t="n">
        <f aca="false">863/25/1.2</f>
        <v>28.77</v>
      </c>
      <c r="J101" s="34" t="n">
        <f aca="false">F101*I101</f>
        <v>51716.95</v>
      </c>
      <c r="K101" s="66" t="s">
        <v>651</v>
      </c>
      <c r="L101" s="34" t="n">
        <f aca="false">995/25/1.2</f>
        <v>33.17</v>
      </c>
      <c r="M101" s="34" t="n">
        <f aca="false">F101*L101</f>
        <v>59626.39</v>
      </c>
      <c r="N101" s="66" t="s">
        <v>652</v>
      </c>
      <c r="O101" s="34" t="n">
        <f aca="false">894/25/1.2</f>
        <v>29.8</v>
      </c>
      <c r="P101" s="34" t="n">
        <f aca="false">F101*O101</f>
        <v>53568.48</v>
      </c>
      <c r="Q101" s="35" t="n">
        <f aca="false">AVERAGE(I101,L101,O101)</f>
        <v>30.58</v>
      </c>
      <c r="R101" s="36" t="n">
        <f aca="false">G101*100/Q101-100</f>
        <v>0</v>
      </c>
      <c r="S101" s="35" t="n">
        <f aca="false">Q101*F101</f>
        <v>54970.61</v>
      </c>
      <c r="T101" s="37"/>
      <c r="V101" s="39" t="n">
        <f aca="false">ROUND(I101*100/Q101-100,0)</f>
        <v>-6</v>
      </c>
      <c r="W101" s="39" t="n">
        <f aca="false">ROUND(L101*100/Q101-100,0)</f>
        <v>8</v>
      </c>
      <c r="X101" s="39" t="n">
        <f aca="false">ROUND(O101*100/Q101-100,0)</f>
        <v>-3</v>
      </c>
      <c r="Y101" s="85" t="n">
        <f aca="false">Q101/1.2</f>
        <v>25.48</v>
      </c>
      <c r="Z101" s="85" t="n">
        <f aca="false">Q101*1.2</f>
        <v>36.7</v>
      </c>
      <c r="AA101" s="86" t="n">
        <f aca="false">AND((I101)&gt;=MIN(Y101),(I101)&lt;=MAX(Z101))</f>
        <v>1</v>
      </c>
      <c r="AB101" s="86" t="n">
        <f aca="false">AND((L101)&gt;=MIN(Y101),(L101)&lt;=MAX(Z101))</f>
        <v>1</v>
      </c>
      <c r="AC101" s="86" t="n">
        <f aca="false">AND((O101)&gt;=MIN(Y101),(O101)&lt;=MAX(Z101))</f>
        <v>1</v>
      </c>
      <c r="AD101" s="95" t="s">
        <v>921</v>
      </c>
      <c r="AE101" s="88" t="n">
        <f aca="false">30.2/1.2</f>
        <v>25.17</v>
      </c>
      <c r="AF101" s="88" t="n">
        <f aca="false">AE101*F101</f>
        <v>45245.59</v>
      </c>
      <c r="AG101" s="95" t="s">
        <v>922</v>
      </c>
      <c r="AH101" s="88" t="n">
        <f aca="false">844/25/1.2</f>
        <v>28.13</v>
      </c>
      <c r="AI101" s="89" t="n">
        <f aca="false">AH101*F101</f>
        <v>50566.49</v>
      </c>
      <c r="AJ101" s="95" t="s">
        <v>923</v>
      </c>
      <c r="AK101" s="88" t="n">
        <f aca="false">812/25/1.2</f>
        <v>27.07</v>
      </c>
      <c r="AL101" s="89" t="n">
        <f aca="false">AK101*F101</f>
        <v>48661.03</v>
      </c>
      <c r="AM101" s="91" t="n">
        <f aca="false">AVERAGE(AE101,AH101,AK101)</f>
        <v>26.79</v>
      </c>
      <c r="AN101" s="91" t="n">
        <f aca="false">((G101-AM101)/AM101)*100</f>
        <v>14.15</v>
      </c>
      <c r="AO101" s="92" t="n">
        <f aca="false">AM101/1.2</f>
        <v>22.33</v>
      </c>
      <c r="AP101" s="92" t="n">
        <f aca="false">AM101*1.2</f>
        <v>32.15</v>
      </c>
      <c r="AQ101" s="86" t="n">
        <f aca="false">AND((AE101)&gt;=MIN(AO101),(AE101)&lt;=MAX(AP101))</f>
        <v>1</v>
      </c>
      <c r="AR101" s="86" t="n">
        <f aca="false">AND((AH101)&gt;=MIN(AO101),(AH101)&lt;=MAX(AP101))</f>
        <v>1</v>
      </c>
      <c r="AS101" s="86" t="n">
        <f aca="false">AND((AK101)&gt;=MIN(AO101),(AK101)&lt;=MAX(AP101))</f>
        <v>1</v>
      </c>
    </row>
    <row r="102" s="38" customFormat="true" ht="104.25" hidden="false" customHeight="true" outlineLevel="0" collapsed="false">
      <c r="A102" s="28" t="n">
        <v>96</v>
      </c>
      <c r="B102" s="102"/>
      <c r="C102" s="220"/>
      <c r="D102" s="63" t="s">
        <v>653</v>
      </c>
      <c r="E102" s="64" t="s">
        <v>64</v>
      </c>
      <c r="F102" s="65" t="n">
        <v>37.5</v>
      </c>
      <c r="G102" s="32" t="n">
        <f aca="false">Q102</f>
        <v>980.37</v>
      </c>
      <c r="H102" s="42" t="s">
        <v>654</v>
      </c>
      <c r="I102" s="34" t="n">
        <f aca="false">898/750*1000/1.2</f>
        <v>997.78</v>
      </c>
      <c r="J102" s="34" t="n">
        <f aca="false">F102*I102</f>
        <v>37416.75</v>
      </c>
      <c r="K102" s="42" t="s">
        <v>655</v>
      </c>
      <c r="L102" s="34" t="n">
        <f aca="false">899/750*1000/1.2</f>
        <v>998.89</v>
      </c>
      <c r="M102" s="34" t="n">
        <f aca="false">F102*L102</f>
        <v>37458.38</v>
      </c>
      <c r="N102" s="42" t="s">
        <v>656</v>
      </c>
      <c r="O102" s="34" t="n">
        <f aca="false">850/750*1000/1.2</f>
        <v>944.44</v>
      </c>
      <c r="P102" s="34" t="n">
        <f aca="false">F102*O102</f>
        <v>35416.5</v>
      </c>
      <c r="Q102" s="35" t="n">
        <f aca="false">AVERAGE(I102,L102,O102)</f>
        <v>980.37</v>
      </c>
      <c r="R102" s="36" t="n">
        <f aca="false">G102*100/Q102-100</f>
        <v>0</v>
      </c>
      <c r="S102" s="35" t="n">
        <f aca="false">Q102*F102</f>
        <v>36763.88</v>
      </c>
      <c r="T102" s="37"/>
      <c r="V102" s="39" t="n">
        <f aca="false">ROUND(I102*100/Q102-100,0)</f>
        <v>2</v>
      </c>
      <c r="W102" s="39" t="n">
        <f aca="false">ROUND(L102*100/Q102-100,0)</f>
        <v>2</v>
      </c>
      <c r="X102" s="39" t="n">
        <f aca="false">ROUND(O102*100/Q102-100,0)</f>
        <v>-4</v>
      </c>
      <c r="Y102" s="85" t="n">
        <f aca="false">Q102/1.2</f>
        <v>816.98</v>
      </c>
      <c r="Z102" s="85" t="n">
        <f aca="false">Q102*1.2</f>
        <v>1176.44</v>
      </c>
      <c r="AA102" s="86" t="n">
        <f aca="false">AND((I102)&gt;=MIN(Y102),(I102)&lt;=MAX(Z102))</f>
        <v>1</v>
      </c>
      <c r="AB102" s="86" t="n">
        <f aca="false">AND((L102)&gt;=MIN(Y102),(L102)&lt;=MAX(Z102))</f>
        <v>1</v>
      </c>
      <c r="AC102" s="86" t="n">
        <f aca="false">AND((O102)&gt;=MIN(Y102),(O102)&lt;=MAX(Z102))</f>
        <v>1</v>
      </c>
      <c r="AD102" s="95" t="s">
        <v>924</v>
      </c>
      <c r="AE102" s="88" t="n">
        <f aca="false">772/0.75/1.2</f>
        <v>857.78</v>
      </c>
      <c r="AF102" s="88" t="n">
        <f aca="false">AE102*F102</f>
        <v>32166.75</v>
      </c>
      <c r="AG102" s="95" t="s">
        <v>925</v>
      </c>
      <c r="AH102" s="88" t="n">
        <f aca="false">779/0.75/1.2</f>
        <v>865.56</v>
      </c>
      <c r="AI102" s="89" t="n">
        <f aca="false">AH102*F102</f>
        <v>32458.5</v>
      </c>
      <c r="AJ102" s="95" t="s">
        <v>926</v>
      </c>
      <c r="AK102" s="88" t="n">
        <f aca="false">899/0.75/1.2</f>
        <v>998.89</v>
      </c>
      <c r="AL102" s="89" t="n">
        <f aca="false">AK102*F102</f>
        <v>37458.38</v>
      </c>
      <c r="AM102" s="91" t="n">
        <f aca="false">AVERAGE(AE102,AH102,AK102)</f>
        <v>907.41</v>
      </c>
      <c r="AN102" s="91" t="n">
        <f aca="false">((G102-AM102)/AM102)*100</f>
        <v>8.04</v>
      </c>
      <c r="AO102" s="92" t="n">
        <f aca="false">AM102/1.2</f>
        <v>756.18</v>
      </c>
      <c r="AP102" s="92" t="n">
        <f aca="false">AM102*1.2</f>
        <v>1088.89</v>
      </c>
      <c r="AQ102" s="86" t="n">
        <f aca="false">AND((AE102)&gt;=MIN(AO102),(AE102)&lt;=MAX(AP102))</f>
        <v>1</v>
      </c>
      <c r="AR102" s="86" t="n">
        <f aca="false">AND((AH102)&gt;=MIN(AO102),(AH102)&lt;=MAX(AP102))</f>
        <v>1</v>
      </c>
      <c r="AS102" s="86" t="n">
        <f aca="false">AND((AK102)&gt;=MIN(AO102),(AK102)&lt;=MAX(AP102))</f>
        <v>1</v>
      </c>
    </row>
    <row r="103" s="38" customFormat="true" ht="104.25" hidden="false" customHeight="true" outlineLevel="0" collapsed="false">
      <c r="A103" s="28" t="n">
        <v>97</v>
      </c>
      <c r="B103" s="104" t="s">
        <v>1154</v>
      </c>
      <c r="C103" s="215"/>
      <c r="D103" s="63" t="s">
        <v>657</v>
      </c>
      <c r="E103" s="64" t="s">
        <v>27</v>
      </c>
      <c r="F103" s="65" t="n">
        <v>214</v>
      </c>
      <c r="G103" s="32" t="n">
        <f aca="false">Q103</f>
        <v>245.83</v>
      </c>
      <c r="H103" s="33" t="s">
        <v>658</v>
      </c>
      <c r="I103" s="34" t="n">
        <f aca="false">540/2/1.2</f>
        <v>225</v>
      </c>
      <c r="J103" s="34" t="n">
        <f aca="false">F103*I103</f>
        <v>48150</v>
      </c>
      <c r="K103" s="33" t="s">
        <v>659</v>
      </c>
      <c r="L103" s="34" t="n">
        <f aca="false">625/2/1.2</f>
        <v>260.42</v>
      </c>
      <c r="M103" s="34" t="n">
        <f aca="false">F103*L103</f>
        <v>55729.88</v>
      </c>
      <c r="N103" s="33" t="s">
        <v>660</v>
      </c>
      <c r="O103" s="34" t="n">
        <f aca="false">605/2/1.2</f>
        <v>252.08</v>
      </c>
      <c r="P103" s="34" t="n">
        <f aca="false">F103*O103</f>
        <v>53945.12</v>
      </c>
      <c r="Q103" s="35" t="n">
        <f aca="false">AVERAGE(I103,L103,O103)</f>
        <v>245.83</v>
      </c>
      <c r="R103" s="36" t="n">
        <f aca="false">G103*100/Q103-100</f>
        <v>0</v>
      </c>
      <c r="S103" s="35" t="n">
        <f aca="false">Q103*F103</f>
        <v>52607.62</v>
      </c>
      <c r="T103" s="37"/>
      <c r="V103" s="39" t="n">
        <f aca="false">ROUND(I103*100/Q103-100,0)</f>
        <v>-8</v>
      </c>
      <c r="W103" s="39" t="n">
        <f aca="false">ROUND(L103*100/Q103-100,0)</f>
        <v>6</v>
      </c>
      <c r="X103" s="39" t="n">
        <f aca="false">ROUND(O103*100/Q103-100,0)</f>
        <v>3</v>
      </c>
      <c r="Y103" s="85" t="n">
        <f aca="false">Q103/1.2</f>
        <v>204.86</v>
      </c>
      <c r="Z103" s="85" t="n">
        <f aca="false">Q103*1.2</f>
        <v>295</v>
      </c>
      <c r="AA103" s="86" t="n">
        <f aca="false">AND((I103)&gt;=MIN(Y103),(I103)&lt;=MAX(Z103))</f>
        <v>1</v>
      </c>
      <c r="AB103" s="86" t="n">
        <f aca="false">AND((L103)&gt;=MIN(Y103),(L103)&lt;=MAX(Z103))</f>
        <v>1</v>
      </c>
      <c r="AC103" s="86" t="n">
        <f aca="false">AND((O103)&gt;=MIN(Y103),(O103)&lt;=MAX(Z103))</f>
        <v>1</v>
      </c>
      <c r="AD103" s="95" t="s">
        <v>929</v>
      </c>
      <c r="AE103" s="88" t="n">
        <f aca="false">247.5/1.2</f>
        <v>206.25</v>
      </c>
      <c r="AF103" s="88" t="n">
        <f aca="false">AE103*F103</f>
        <v>44137.5</v>
      </c>
      <c r="AG103" s="95" t="s">
        <v>930</v>
      </c>
      <c r="AH103" s="88" t="n">
        <f aca="false">268/1.2</f>
        <v>223.33</v>
      </c>
      <c r="AI103" s="89" t="n">
        <f aca="false">AH103*F103</f>
        <v>47792.62</v>
      </c>
      <c r="AJ103" s="95" t="s">
        <v>931</v>
      </c>
      <c r="AK103" s="88" t="n">
        <f aca="false">420/2/1.2</f>
        <v>175</v>
      </c>
      <c r="AL103" s="89" t="n">
        <f aca="false">AK103*F103</f>
        <v>37450</v>
      </c>
      <c r="AM103" s="91" t="n">
        <f aca="false">AVERAGE(AE103,AH103,AK103)</f>
        <v>201.53</v>
      </c>
      <c r="AN103" s="91" t="n">
        <f aca="false">((G103-AM103)/AM103)*100</f>
        <v>21.98</v>
      </c>
      <c r="AO103" s="92" t="n">
        <f aca="false">AM103/1.2</f>
        <v>167.94</v>
      </c>
      <c r="AP103" s="92" t="n">
        <f aca="false">AM103*1.2</f>
        <v>241.84</v>
      </c>
      <c r="AQ103" s="86" t="n">
        <f aca="false">AND((AE103)&gt;=MIN(AO103),(AE103)&lt;=MAX(AP103))</f>
        <v>1</v>
      </c>
      <c r="AR103" s="86" t="n">
        <f aca="false">AND((AH103)&gt;=MIN(AO103),(AH103)&lt;=MAX(AP103))</f>
        <v>1</v>
      </c>
      <c r="AS103" s="86" t="n">
        <f aca="false">AND((AK103)&gt;=MIN(AO103),(AK103)&lt;=MAX(AP103))</f>
        <v>1</v>
      </c>
    </row>
    <row r="104" s="38" customFormat="true" ht="104.25" hidden="false" customHeight="true" outlineLevel="0" collapsed="false">
      <c r="A104" s="28" t="n">
        <v>98</v>
      </c>
      <c r="B104" s="104" t="s">
        <v>1155</v>
      </c>
      <c r="C104" s="224"/>
      <c r="D104" s="63" t="s">
        <v>661</v>
      </c>
      <c r="E104" s="64" t="s">
        <v>27</v>
      </c>
      <c r="F104" s="65" t="n">
        <v>545.94</v>
      </c>
      <c r="G104" s="32" t="n">
        <f aca="false">Q104</f>
        <v>878.4</v>
      </c>
      <c r="H104" s="106" t="s">
        <v>32</v>
      </c>
      <c r="I104" s="34" t="n">
        <f aca="false">945/0.9/1.2</f>
        <v>875</v>
      </c>
      <c r="J104" s="34" t="n">
        <f aca="false">F104*I104</f>
        <v>477697.5</v>
      </c>
      <c r="K104" s="106" t="s">
        <v>33</v>
      </c>
      <c r="L104" s="34" t="n">
        <f aca="false">990/0.9/1.2</f>
        <v>916.67</v>
      </c>
      <c r="M104" s="34" t="n">
        <f aca="false">F104*L104</f>
        <v>500446.82</v>
      </c>
      <c r="N104" s="106" t="s">
        <v>34</v>
      </c>
      <c r="O104" s="34" t="n">
        <f aca="false">911/0.9/1.2</f>
        <v>843.52</v>
      </c>
      <c r="P104" s="34" t="n">
        <f aca="false">F104*O104</f>
        <v>460511.31</v>
      </c>
      <c r="Q104" s="35" t="n">
        <f aca="false">AVERAGE(I104,L104,O104)</f>
        <v>878.4</v>
      </c>
      <c r="R104" s="36" t="n">
        <f aca="false">G104*100/Q104-100</f>
        <v>0</v>
      </c>
      <c r="S104" s="35" t="n">
        <f aca="false">Q104*F104</f>
        <v>479553.7</v>
      </c>
      <c r="T104" s="37"/>
      <c r="V104" s="39" t="n">
        <f aca="false">ROUND(I104*100/Q104-100,0)</f>
        <v>-0</v>
      </c>
      <c r="W104" s="39" t="n">
        <f aca="false">ROUND(L104*100/Q104-100,0)</f>
        <v>4</v>
      </c>
      <c r="X104" s="39" t="n">
        <f aca="false">ROUND(O104*100/Q104-100,0)</f>
        <v>-4</v>
      </c>
      <c r="Y104" s="85" t="n">
        <f aca="false">Q104/1.2</f>
        <v>732</v>
      </c>
      <c r="Z104" s="85" t="n">
        <f aca="false">Q104*1.2</f>
        <v>1054.08</v>
      </c>
      <c r="AA104" s="86" t="n">
        <f aca="false">AND((I104)&gt;=MIN(Y104),(I104)&lt;=MAX(Z104))</f>
        <v>1</v>
      </c>
      <c r="AB104" s="86" t="n">
        <f aca="false">AND((L104)&gt;=MIN(Y104),(L104)&lt;=MAX(Z104))</f>
        <v>1</v>
      </c>
      <c r="AC104" s="86" t="n">
        <f aca="false">AND((O104)&gt;=MIN(Y104),(O104)&lt;=MAX(Z104))</f>
        <v>1</v>
      </c>
      <c r="AD104" s="95" t="s">
        <v>1041</v>
      </c>
      <c r="AE104" s="88" t="n">
        <f aca="false">1790/1.9/1.2</f>
        <v>785.09</v>
      </c>
      <c r="AF104" s="88" t="n">
        <f aca="false">AE104*F104</f>
        <v>428612.03</v>
      </c>
      <c r="AG104" s="95" t="s">
        <v>1042</v>
      </c>
      <c r="AH104" s="88" t="n">
        <f aca="false">1770/1.9/1.2</f>
        <v>776.32</v>
      </c>
      <c r="AI104" s="89" t="n">
        <f aca="false">AH104*F104</f>
        <v>423824.14</v>
      </c>
      <c r="AJ104" s="95" t="s">
        <v>1043</v>
      </c>
      <c r="AK104" s="88" t="n">
        <f aca="false">1628/1.9/1.2</f>
        <v>714.04</v>
      </c>
      <c r="AL104" s="89" t="n">
        <f aca="false">AK104*F104</f>
        <v>389823</v>
      </c>
      <c r="AM104" s="91" t="n">
        <f aca="false">AVERAGE(AE104,AH104,AK104)</f>
        <v>758.48</v>
      </c>
      <c r="AN104" s="91" t="n">
        <f aca="false">((G104-AM104)/AM104)*100</f>
        <v>15.81</v>
      </c>
      <c r="AO104" s="92" t="n">
        <f aca="false">AM104/1.2</f>
        <v>632.07</v>
      </c>
      <c r="AP104" s="92" t="n">
        <f aca="false">AM104*1.2</f>
        <v>910.18</v>
      </c>
      <c r="AQ104" s="86" t="n">
        <f aca="false">AND((AE104)&gt;=MIN(AO104),(AE104)&lt;=MAX(AP104))</f>
        <v>1</v>
      </c>
      <c r="AR104" s="86" t="n">
        <f aca="false">AND((AH104)&gt;=MIN(AO104),(AH104)&lt;=MAX(AP104))</f>
        <v>1</v>
      </c>
      <c r="AS104" s="86" t="n">
        <f aca="false">AND((AK104)&gt;=MIN(AO104),(AK104)&lt;=MAX(AP104))</f>
        <v>1</v>
      </c>
    </row>
    <row r="105" s="38" customFormat="true" ht="104.25" hidden="false" customHeight="true" outlineLevel="0" collapsed="false">
      <c r="A105" s="221" t="n">
        <v>99</v>
      </c>
      <c r="B105" s="102"/>
      <c r="C105" s="220"/>
      <c r="D105" s="63" t="s">
        <v>662</v>
      </c>
      <c r="E105" s="64" t="s">
        <v>143</v>
      </c>
      <c r="F105" s="65" t="n">
        <v>10</v>
      </c>
      <c r="G105" s="32" t="n">
        <f aca="false">Q105</f>
        <v>42641.67</v>
      </c>
      <c r="H105" s="33" t="s">
        <v>663</v>
      </c>
      <c r="I105" s="34" t="n">
        <f aca="false">53705.07/1.2</f>
        <v>44754.23</v>
      </c>
      <c r="J105" s="34" t="n">
        <f aca="false">F105*I105</f>
        <v>447542.3</v>
      </c>
      <c r="K105" s="33" t="s">
        <v>664</v>
      </c>
      <c r="L105" s="34" t="n">
        <f aca="false">48448/1.2</f>
        <v>40373.33</v>
      </c>
      <c r="M105" s="34" t="n">
        <f aca="false">F105*L105</f>
        <v>403733.3</v>
      </c>
      <c r="N105" s="33" t="s">
        <v>665</v>
      </c>
      <c r="O105" s="34" t="n">
        <f aca="false">51356.93/1.2</f>
        <v>42797.44</v>
      </c>
      <c r="P105" s="34" t="n">
        <f aca="false">F105*O105</f>
        <v>427974.4</v>
      </c>
      <c r="Q105" s="35" t="n">
        <f aca="false">AVERAGE(I105,L105,O105)</f>
        <v>42641.67</v>
      </c>
      <c r="R105" s="36" t="n">
        <f aca="false">G105*100/Q105-100</f>
        <v>0</v>
      </c>
      <c r="S105" s="35" t="n">
        <f aca="false">Q105*F105</f>
        <v>426416.7</v>
      </c>
      <c r="T105" s="37"/>
      <c r="V105" s="39" t="n">
        <f aca="false">ROUND(I105*100/Q105-100,0)</f>
        <v>5</v>
      </c>
      <c r="W105" s="39" t="n">
        <f aca="false">ROUND(L105*100/Q105-100,0)</f>
        <v>-5</v>
      </c>
      <c r="X105" s="39" t="n">
        <f aca="false">ROUND(O105*100/Q105-100,0)</f>
        <v>0</v>
      </c>
      <c r="Y105" s="85" t="n">
        <f aca="false">Q105/1.2</f>
        <v>35534.73</v>
      </c>
      <c r="Z105" s="85" t="n">
        <f aca="false">Q105*1.2</f>
        <v>51170</v>
      </c>
      <c r="AA105" s="86" t="n">
        <f aca="false">AND((I105)&gt;=MIN(Y105),(I105)&lt;=MAX(Z105))</f>
        <v>1</v>
      </c>
      <c r="AB105" s="86" t="n">
        <f aca="false">AND((L105)&gt;=MIN(Y105),(L105)&lt;=MAX(Z105))</f>
        <v>1</v>
      </c>
      <c r="AC105" s="86" t="n">
        <f aca="false">AND((O105)&gt;=MIN(Y105),(O105)&lt;=MAX(Z105))</f>
        <v>1</v>
      </c>
      <c r="AD105" s="95" t="s">
        <v>934</v>
      </c>
      <c r="AE105" s="88" t="n">
        <f aca="false">41682/1.2</f>
        <v>34735</v>
      </c>
      <c r="AF105" s="88" t="n">
        <f aca="false">AE105*F105</f>
        <v>347350</v>
      </c>
      <c r="AG105" s="95" t="s">
        <v>935</v>
      </c>
      <c r="AH105" s="88" t="n">
        <f aca="false">43559/1.2</f>
        <v>36299.17</v>
      </c>
      <c r="AI105" s="89" t="n">
        <f aca="false">AH105*F105</f>
        <v>362991.7</v>
      </c>
      <c r="AJ105" s="95" t="s">
        <v>936</v>
      </c>
      <c r="AK105" s="88" t="n">
        <f aca="false">46455.92/1.2</f>
        <v>38713.27</v>
      </c>
      <c r="AL105" s="89" t="n">
        <f aca="false">AK105*F105</f>
        <v>387132.7</v>
      </c>
      <c r="AM105" s="91" t="n">
        <f aca="false">AVERAGE(AE105,AH105,AK105)</f>
        <v>36582.48</v>
      </c>
      <c r="AN105" s="91" t="n">
        <f aca="false">((G105-AM105)/AM105)*100</f>
        <v>16.56</v>
      </c>
      <c r="AO105" s="92" t="n">
        <f aca="false">AM105/1.2</f>
        <v>30485.4</v>
      </c>
      <c r="AP105" s="92" t="n">
        <f aca="false">AM105*1.2</f>
        <v>43898.98</v>
      </c>
      <c r="AQ105" s="86" t="n">
        <f aca="false">AND((AE105)&gt;=MIN(AO105),(AE105)&lt;=MAX(AP105))</f>
        <v>1</v>
      </c>
      <c r="AR105" s="86" t="n">
        <f aca="false">AND((AH105)&gt;=MIN(AO105),(AH105)&lt;=MAX(AP105))</f>
        <v>1</v>
      </c>
      <c r="AS105" s="86" t="n">
        <f aca="false">AND((AK105)&gt;=MIN(AO105),(AK105)&lt;=MAX(AP105))</f>
        <v>1</v>
      </c>
    </row>
    <row r="106" s="38" customFormat="true" ht="104.25" hidden="false" customHeight="true" outlineLevel="0" collapsed="false">
      <c r="A106" s="28" t="n">
        <v>100</v>
      </c>
      <c r="B106" s="104" t="s">
        <v>937</v>
      </c>
      <c r="C106" s="215"/>
      <c r="D106" s="63" t="s">
        <v>666</v>
      </c>
      <c r="E106" s="64" t="s">
        <v>143</v>
      </c>
      <c r="F106" s="65" t="n">
        <v>80</v>
      </c>
      <c r="G106" s="32" t="n">
        <f aca="false">Q106</f>
        <v>644.17</v>
      </c>
      <c r="H106" s="42" t="s">
        <v>667</v>
      </c>
      <c r="I106" s="34" t="n">
        <f aca="false">722/1.2</f>
        <v>601.67</v>
      </c>
      <c r="J106" s="34" t="n">
        <f aca="false">F106*I106</f>
        <v>48133.6</v>
      </c>
      <c r="K106" s="42" t="s">
        <v>668</v>
      </c>
      <c r="L106" s="34" t="n">
        <f aca="false">870/1.2</f>
        <v>725</v>
      </c>
      <c r="M106" s="34" t="n">
        <f aca="false">F106*L106</f>
        <v>58000</v>
      </c>
      <c r="N106" s="42" t="s">
        <v>669</v>
      </c>
      <c r="O106" s="34" t="n">
        <f aca="false">727/1.2</f>
        <v>605.83</v>
      </c>
      <c r="P106" s="34" t="n">
        <f aca="false">F106*O106</f>
        <v>48466.4</v>
      </c>
      <c r="Q106" s="35" t="n">
        <f aca="false">AVERAGE(I106,L106,O106)</f>
        <v>644.17</v>
      </c>
      <c r="R106" s="36" t="n">
        <f aca="false">G106*100/Q106-100</f>
        <v>0</v>
      </c>
      <c r="S106" s="35" t="n">
        <f aca="false">Q106*F106</f>
        <v>51533.6</v>
      </c>
      <c r="T106" s="37"/>
      <c r="V106" s="39" t="n">
        <f aca="false">ROUND(I106*100/Q106-100,0)</f>
        <v>-7</v>
      </c>
      <c r="W106" s="39" t="n">
        <f aca="false">ROUND(L106*100/Q106-100,0)</f>
        <v>13</v>
      </c>
      <c r="X106" s="39" t="n">
        <f aca="false">ROUND(O106*100/Q106-100,0)</f>
        <v>-6</v>
      </c>
      <c r="Y106" s="85" t="n">
        <f aca="false">Q106/1.2</f>
        <v>536.81</v>
      </c>
      <c r="Z106" s="85" t="n">
        <f aca="false">Q106*1.2</f>
        <v>773</v>
      </c>
      <c r="AA106" s="86" t="n">
        <f aca="false">AND((I106)&gt;=MIN(Y106),(I106)&lt;=MAX(Z106))</f>
        <v>1</v>
      </c>
      <c r="AB106" s="86" t="n">
        <f aca="false">AND((L106)&gt;=MIN(Y106),(L106)&lt;=MAX(Z106))</f>
        <v>1</v>
      </c>
      <c r="AC106" s="86" t="n">
        <f aca="false">AND((O106)&gt;=MIN(Y106),(O106)&lt;=MAX(Z106))</f>
        <v>1</v>
      </c>
      <c r="AD106" s="95" t="s">
        <v>938</v>
      </c>
      <c r="AE106" s="88" t="n">
        <f aca="false">487/1.2</f>
        <v>405.83</v>
      </c>
      <c r="AF106" s="88" t="n">
        <f aca="false">AE106*F106</f>
        <v>32466.4</v>
      </c>
      <c r="AG106" s="95" t="s">
        <v>939</v>
      </c>
      <c r="AH106" s="88" t="n">
        <f aca="false">572.55/1.2</f>
        <v>477.13</v>
      </c>
      <c r="AI106" s="89" t="n">
        <f aca="false">AH106*F106</f>
        <v>38170.4</v>
      </c>
      <c r="AJ106" s="95" t="s">
        <v>940</v>
      </c>
      <c r="AK106" s="88" t="n">
        <f aca="false">689.26/1.2</f>
        <v>574.38</v>
      </c>
      <c r="AL106" s="89" t="n">
        <f aca="false">AK106*F106</f>
        <v>45950.4</v>
      </c>
      <c r="AM106" s="91" t="n">
        <f aca="false">AVERAGE(AE106,AH106,AK106)</f>
        <v>485.78</v>
      </c>
      <c r="AN106" s="91" t="n">
        <f aca="false">((G106-AM106)/AM106)*100</f>
        <v>32.61</v>
      </c>
      <c r="AO106" s="92" t="n">
        <f aca="false">AM106/1.2</f>
        <v>404.82</v>
      </c>
      <c r="AP106" s="92" t="n">
        <f aca="false">AM106*1.2</f>
        <v>582.94</v>
      </c>
      <c r="AQ106" s="86" t="n">
        <f aca="false">AND((AE106)&gt;=MIN(AO106),(AE106)&lt;=MAX(AP106))</f>
        <v>1</v>
      </c>
      <c r="AR106" s="86" t="n">
        <f aca="false">AND((AH106)&gt;=MIN(AO106),(AH106)&lt;=MAX(AP106))</f>
        <v>1</v>
      </c>
      <c r="AS106" s="86" t="n">
        <f aca="false">AND((AK106)&gt;=MIN(AO106),(AK106)&lt;=MAX(AP106))</f>
        <v>1</v>
      </c>
    </row>
    <row r="107" s="38" customFormat="true" ht="104.25" hidden="false" customHeight="true" outlineLevel="0" collapsed="false">
      <c r="A107" s="28" t="n">
        <v>101</v>
      </c>
      <c r="B107" s="102" t="s">
        <v>941</v>
      </c>
      <c r="C107" s="220" t="s">
        <v>1143</v>
      </c>
      <c r="D107" s="63" t="s">
        <v>670</v>
      </c>
      <c r="E107" s="64" t="s">
        <v>27</v>
      </c>
      <c r="F107" s="65" t="n">
        <v>2663.01</v>
      </c>
      <c r="G107" s="32" t="n">
        <f aca="false">Q107</f>
        <v>251.58</v>
      </c>
      <c r="H107" s="42" t="s">
        <v>671</v>
      </c>
      <c r="I107" s="34" t="n">
        <f aca="false">4283/13/1.2</f>
        <v>274.55</v>
      </c>
      <c r="J107" s="34" t="n">
        <f aca="false">F107*I107</f>
        <v>731129.4</v>
      </c>
      <c r="K107" s="42" t="s">
        <v>672</v>
      </c>
      <c r="L107" s="34" t="n">
        <f aca="false">4558/14/1.2</f>
        <v>271.31</v>
      </c>
      <c r="M107" s="34" t="n">
        <f aca="false">F107*L107</f>
        <v>722501.24</v>
      </c>
      <c r="N107" s="42" t="s">
        <v>673</v>
      </c>
      <c r="O107" s="34" t="n">
        <f aca="false">3760/15/1.2</f>
        <v>208.89</v>
      </c>
      <c r="P107" s="34" t="n">
        <f aca="false">F107*O107</f>
        <v>556276.16</v>
      </c>
      <c r="Q107" s="35" t="n">
        <f aca="false">AVERAGE(I107,L107,O107)</f>
        <v>251.58</v>
      </c>
      <c r="R107" s="36" t="n">
        <f aca="false">G107*100/Q107-100</f>
        <v>0</v>
      </c>
      <c r="S107" s="35" t="n">
        <f aca="false">Q107*F107</f>
        <v>669960.06</v>
      </c>
      <c r="T107" s="37"/>
      <c r="V107" s="39" t="n">
        <f aca="false">ROUND(I107*100/Q107-100,0)</f>
        <v>9</v>
      </c>
      <c r="W107" s="39" t="n">
        <f aca="false">ROUND(L107*100/Q107-100,0)</f>
        <v>8</v>
      </c>
      <c r="X107" s="39" t="n">
        <f aca="false">ROUND(O107*100/Q107-100,0)</f>
        <v>-17</v>
      </c>
      <c r="Y107" s="85" t="n">
        <f aca="false">Q107/1.2</f>
        <v>209.65</v>
      </c>
      <c r="Z107" s="85" t="n">
        <f aca="false">Q107*1.2</f>
        <v>301.9</v>
      </c>
      <c r="AA107" s="86" t="n">
        <f aca="false">AND((I107)&gt;=MIN(Y107),(I107)&lt;=MAX(Z107))</f>
        <v>1</v>
      </c>
      <c r="AB107" s="86" t="n">
        <f aca="false">AND((L107)&gt;=MIN(Y107),(L107)&lt;=MAX(Z107))</f>
        <v>1</v>
      </c>
      <c r="AC107" s="101" t="n">
        <f aca="false">AND((O107)&gt;=MIN(Y107),(O107)&lt;=MAX(Z107))</f>
        <v>0</v>
      </c>
      <c r="AD107" s="95"/>
      <c r="AE107" s="88"/>
      <c r="AF107" s="88" t="n">
        <f aca="false">AE107*F107</f>
        <v>0</v>
      </c>
      <c r="AG107" s="95"/>
      <c r="AH107" s="88"/>
      <c r="AI107" s="89" t="n">
        <f aca="false">AH107*F107</f>
        <v>0</v>
      </c>
      <c r="AJ107" s="95"/>
      <c r="AK107" s="88"/>
      <c r="AL107" s="89" t="n">
        <f aca="false">AK107*F107</f>
        <v>0</v>
      </c>
      <c r="AM107" s="91" t="e">
        <f aca="false">AVERAGE(AE107,AH107,AK107)</f>
        <v>#DIV/0!</v>
      </c>
      <c r="AN107" s="91" t="e">
        <f aca="false">((G107-AM107)/AM107)*100</f>
        <v>#DIV/0!</v>
      </c>
      <c r="AO107" s="92" t="e">
        <f aca="false">AM107/1.2</f>
        <v>#DIV/0!</v>
      </c>
      <c r="AP107" s="92" t="e">
        <f aca="false">AM107*1.2</f>
        <v>#DIV/0!</v>
      </c>
      <c r="AQ107" s="86" t="e">
        <f aca="false">AND((AE107)&gt;=MIN(AO107),(AE107)&lt;=MAX(AP107))</f>
        <v>#DIV/0!</v>
      </c>
      <c r="AR107" s="86" t="e">
        <f aca="false">AND((AH107)&gt;=MIN(AO107),(AH107)&lt;=MAX(AP107))</f>
        <v>#DIV/0!</v>
      </c>
      <c r="AS107" s="86" t="e">
        <f aca="false">AND((AK107)&gt;=MIN(AO107),(AK107)&lt;=MAX(AP107))</f>
        <v>#DIV/0!</v>
      </c>
    </row>
    <row r="108" s="38" customFormat="true" ht="104.25" hidden="false" customHeight="true" outlineLevel="0" collapsed="false">
      <c r="A108" s="28" t="n">
        <v>102</v>
      </c>
      <c r="B108" s="104" t="s">
        <v>1156</v>
      </c>
      <c r="C108" s="222" t="s">
        <v>1157</v>
      </c>
      <c r="D108" s="63" t="s">
        <v>674</v>
      </c>
      <c r="E108" s="64" t="s">
        <v>675</v>
      </c>
      <c r="F108" s="65" t="n">
        <v>172.15</v>
      </c>
      <c r="G108" s="32" t="n">
        <f aca="false">Q108</f>
        <v>3611.11</v>
      </c>
      <c r="H108" s="67" t="s">
        <v>676</v>
      </c>
      <c r="I108" s="68" t="n">
        <f aca="false">4700/1.2</f>
        <v>3916.67</v>
      </c>
      <c r="J108" s="68" t="n">
        <f aca="false">F108*I108</f>
        <v>674254.74</v>
      </c>
      <c r="K108" s="67" t="s">
        <v>677</v>
      </c>
      <c r="L108" s="68" t="n">
        <f aca="false">4200/1.2</f>
        <v>3500</v>
      </c>
      <c r="M108" s="68" t="n">
        <f aca="false">F108*L108</f>
        <v>602525</v>
      </c>
      <c r="N108" s="67" t="s">
        <v>678</v>
      </c>
      <c r="O108" s="68" t="n">
        <f aca="false">4100/1.2</f>
        <v>3416.67</v>
      </c>
      <c r="P108" s="34" t="n">
        <f aca="false">F108*O108</f>
        <v>588179.74</v>
      </c>
      <c r="Q108" s="35" t="n">
        <f aca="false">AVERAGE(I108,L108,O108)</f>
        <v>3611.11</v>
      </c>
      <c r="R108" s="36" t="n">
        <f aca="false">G108*100/Q108-100</f>
        <v>0</v>
      </c>
      <c r="S108" s="35" t="n">
        <f aca="false">Q108*F108</f>
        <v>621652.59</v>
      </c>
      <c r="T108" s="37"/>
      <c r="V108" s="39" t="n">
        <f aca="false">ROUND(I108*100/Q108-100,0)</f>
        <v>8</v>
      </c>
      <c r="W108" s="39" t="n">
        <f aca="false">ROUND(L108*100/Q108-100,0)</f>
        <v>-3</v>
      </c>
      <c r="X108" s="39" t="n">
        <f aca="false">ROUND(O108*100/Q108-100,0)</f>
        <v>-5</v>
      </c>
      <c r="Y108" s="85" t="n">
        <f aca="false">Q108/1.2</f>
        <v>3009.26</v>
      </c>
      <c r="Z108" s="85" t="n">
        <f aca="false">Q108*1.2</f>
        <v>4333.33</v>
      </c>
      <c r="AA108" s="86" t="n">
        <f aca="false">AND((I108)&gt;=MIN(Y108),(I108)&lt;=MAX(Z108))</f>
        <v>1</v>
      </c>
      <c r="AB108" s="86" t="n">
        <f aca="false">AND((L108)&gt;=MIN(Y108),(L108)&lt;=MAX(Z108))</f>
        <v>1</v>
      </c>
      <c r="AC108" s="86" t="n">
        <f aca="false">AND((O108)&gt;=MIN(Y108),(O108)&lt;=MAX(Z108))</f>
        <v>1</v>
      </c>
      <c r="AD108" s="95"/>
      <c r="AE108" s="88"/>
      <c r="AF108" s="88" t="n">
        <f aca="false">AE108*F108</f>
        <v>0</v>
      </c>
      <c r="AG108" s="95"/>
      <c r="AH108" s="88"/>
      <c r="AI108" s="89" t="n">
        <f aca="false">AH108*F108</f>
        <v>0</v>
      </c>
      <c r="AJ108" s="95"/>
      <c r="AK108" s="88"/>
      <c r="AL108" s="89" t="n">
        <f aca="false">AK108*F108</f>
        <v>0</v>
      </c>
      <c r="AM108" s="91" t="e">
        <f aca="false">AVERAGE(AE108,AH108,AK108)</f>
        <v>#DIV/0!</v>
      </c>
      <c r="AN108" s="91" t="e">
        <f aca="false">((G108-AM108)/AM108)*100</f>
        <v>#DIV/0!</v>
      </c>
      <c r="AO108" s="92" t="e">
        <f aca="false">AM108/1.2</f>
        <v>#DIV/0!</v>
      </c>
      <c r="AP108" s="92" t="e">
        <f aca="false">AM108*1.2</f>
        <v>#DIV/0!</v>
      </c>
      <c r="AQ108" s="86" t="e">
        <f aca="false">AND((AE108)&gt;=MIN(AO108),(AE108)&lt;=MAX(AP108))</f>
        <v>#DIV/0!</v>
      </c>
      <c r="AR108" s="86" t="e">
        <f aca="false">AND((AH108)&gt;=MIN(AO108),(AH108)&lt;=MAX(AP108))</f>
        <v>#DIV/0!</v>
      </c>
      <c r="AS108" s="86" t="e">
        <f aca="false">AND((AK108)&gt;=MIN(AO108),(AK108)&lt;=MAX(AP108))</f>
        <v>#DIV/0!</v>
      </c>
    </row>
    <row r="109" s="38" customFormat="true" ht="104.25" hidden="false" customHeight="true" outlineLevel="0" collapsed="false">
      <c r="A109" s="28" t="n">
        <v>103</v>
      </c>
      <c r="B109" s="102"/>
      <c r="C109" s="220"/>
      <c r="D109" s="63" t="s">
        <v>679</v>
      </c>
      <c r="E109" s="64" t="s">
        <v>27</v>
      </c>
      <c r="F109" s="65" t="n">
        <v>1682</v>
      </c>
      <c r="G109" s="32" t="n">
        <f aca="false">Q109</f>
        <v>20.28</v>
      </c>
      <c r="H109" s="33" t="s">
        <v>680</v>
      </c>
      <c r="I109" s="34" t="n">
        <f aca="false">122/5/1.2</f>
        <v>20.33</v>
      </c>
      <c r="J109" s="34" t="n">
        <f aca="false">F109*I109</f>
        <v>34195.06</v>
      </c>
      <c r="K109" s="33" t="s">
        <v>681</v>
      </c>
      <c r="L109" s="34" t="n">
        <f aca="false">125/5/1.2</f>
        <v>20.83</v>
      </c>
      <c r="M109" s="34" t="n">
        <f aca="false">F109*L109</f>
        <v>35036.06</v>
      </c>
      <c r="N109" s="33" t="s">
        <v>682</v>
      </c>
      <c r="O109" s="34" t="n">
        <f aca="false">118/5/1.2</f>
        <v>19.67</v>
      </c>
      <c r="P109" s="34" t="n">
        <f aca="false">F109*O109</f>
        <v>33084.94</v>
      </c>
      <c r="Q109" s="35" t="n">
        <f aca="false">AVERAGE(I109,L109,O109)</f>
        <v>20.28</v>
      </c>
      <c r="R109" s="36" t="n">
        <f aca="false">G109*100/Q109-100</f>
        <v>0</v>
      </c>
      <c r="S109" s="35" t="n">
        <f aca="false">Q109*F109</f>
        <v>34110.96</v>
      </c>
      <c r="T109" s="37"/>
      <c r="V109" s="39" t="n">
        <f aca="false">ROUND(I109*100/Q109-100,0)</f>
        <v>0</v>
      </c>
      <c r="W109" s="39" t="n">
        <f aca="false">ROUND(L109*100/Q109-100,0)</f>
        <v>3</v>
      </c>
      <c r="X109" s="39" t="n">
        <f aca="false">ROUND(O109*100/Q109-100,0)</f>
        <v>-3</v>
      </c>
      <c r="Y109" s="85" t="n">
        <f aca="false">Q109/1.2</f>
        <v>16.9</v>
      </c>
      <c r="Z109" s="85" t="n">
        <f aca="false">Q109*1.2</f>
        <v>24.34</v>
      </c>
      <c r="AA109" s="86" t="n">
        <f aca="false">AND((I109)&gt;=MIN(Y109),(I109)&lt;=MAX(Z109))</f>
        <v>1</v>
      </c>
      <c r="AB109" s="86" t="n">
        <f aca="false">AND((L109)&gt;=MIN(Y109),(L109)&lt;=MAX(Z109))</f>
        <v>1</v>
      </c>
      <c r="AC109" s="86" t="n">
        <f aca="false">AND((O109)&gt;=MIN(Y109),(O109)&lt;=MAX(Z109))</f>
        <v>1</v>
      </c>
      <c r="AD109" s="95" t="s">
        <v>943</v>
      </c>
      <c r="AE109" s="88" t="n">
        <f aca="false">390/25/1.2</f>
        <v>13</v>
      </c>
      <c r="AF109" s="88" t="n">
        <f aca="false">AE109*F109</f>
        <v>21866</v>
      </c>
      <c r="AG109" s="95" t="s">
        <v>944</v>
      </c>
      <c r="AH109" s="88" t="n">
        <f aca="false">374/25/1.2</f>
        <v>12.47</v>
      </c>
      <c r="AI109" s="89" t="n">
        <f aca="false">AH109*F109</f>
        <v>20974.54</v>
      </c>
      <c r="AJ109" s="95" t="s">
        <v>945</v>
      </c>
      <c r="AK109" s="88" t="n">
        <f aca="false">380/25/1.2</f>
        <v>12.67</v>
      </c>
      <c r="AL109" s="89" t="n">
        <f aca="false">AK109*F109</f>
        <v>21310.94</v>
      </c>
      <c r="AM109" s="91" t="n">
        <f aca="false">AVERAGE(AE109,AH109,AK109)</f>
        <v>12.71</v>
      </c>
      <c r="AN109" s="91" t="n">
        <f aca="false">((G109-AM109)/AM109)*100</f>
        <v>59.56</v>
      </c>
      <c r="AO109" s="92" t="n">
        <f aca="false">AM109/1.2</f>
        <v>10.59</v>
      </c>
      <c r="AP109" s="92" t="n">
        <f aca="false">AM109*1.2</f>
        <v>15.25</v>
      </c>
      <c r="AQ109" s="86" t="n">
        <f aca="false">AND((AE109)&gt;=MIN(AO109),(AE109)&lt;=MAX(AP109))</f>
        <v>1</v>
      </c>
      <c r="AR109" s="86" t="n">
        <f aca="false">AND((AH109)&gt;=MIN(AO109),(AH109)&lt;=MAX(AP109))</f>
        <v>1</v>
      </c>
      <c r="AS109" s="86" t="n">
        <f aca="false">AND((AK109)&gt;=MIN(AO109),(AK109)&lt;=MAX(AP109))</f>
        <v>1</v>
      </c>
    </row>
    <row r="110" s="38" customFormat="true" ht="104.25" hidden="false" customHeight="true" outlineLevel="0" collapsed="false">
      <c r="A110" s="28" t="n">
        <v>104</v>
      </c>
      <c r="B110" s="102"/>
      <c r="C110" s="220"/>
      <c r="D110" s="63" t="s">
        <v>683</v>
      </c>
      <c r="E110" s="64" t="s">
        <v>27</v>
      </c>
      <c r="F110" s="65" t="n">
        <v>92</v>
      </c>
      <c r="G110" s="32" t="n">
        <f aca="false">Q110</f>
        <v>322.22</v>
      </c>
      <c r="H110" s="33" t="s">
        <v>684</v>
      </c>
      <c r="I110" s="34" t="n">
        <f aca="false">360/1.2</f>
        <v>300</v>
      </c>
      <c r="J110" s="34" t="n">
        <f aca="false">F110*I110</f>
        <v>27600</v>
      </c>
      <c r="K110" s="33" t="s">
        <v>685</v>
      </c>
      <c r="L110" s="34" t="n">
        <f aca="false">380/1.2</f>
        <v>316.67</v>
      </c>
      <c r="M110" s="34" t="n">
        <f aca="false">F110*L110</f>
        <v>29133.64</v>
      </c>
      <c r="N110" s="33" t="s">
        <v>686</v>
      </c>
      <c r="O110" s="34" t="n">
        <f aca="false">420/1.2</f>
        <v>350</v>
      </c>
      <c r="P110" s="34" t="n">
        <f aca="false">F110*O110</f>
        <v>32200</v>
      </c>
      <c r="Q110" s="35" t="n">
        <f aca="false">AVERAGE(I110,L110,O110)</f>
        <v>322.22</v>
      </c>
      <c r="R110" s="36" t="n">
        <f aca="false">G110*100/Q110-100</f>
        <v>0</v>
      </c>
      <c r="S110" s="35" t="n">
        <f aca="false">Q110*F110</f>
        <v>29644.24</v>
      </c>
      <c r="T110" s="37"/>
      <c r="V110" s="39" t="n">
        <f aca="false">ROUND(I110*100/Q110-100,0)</f>
        <v>-7</v>
      </c>
      <c r="W110" s="39" t="n">
        <f aca="false">ROUND(L110*100/Q110-100,0)</f>
        <v>-2</v>
      </c>
      <c r="X110" s="39" t="n">
        <f aca="false">ROUND(O110*100/Q110-100,0)</f>
        <v>9</v>
      </c>
      <c r="Y110" s="85" t="n">
        <f aca="false">Q110/1.2</f>
        <v>268.52</v>
      </c>
      <c r="Z110" s="85" t="n">
        <f aca="false">Q110*1.2</f>
        <v>386.66</v>
      </c>
      <c r="AA110" s="86" t="n">
        <f aca="false">AND((I110)&gt;=MIN(Y110),(I110)&lt;=MAX(Z110))</f>
        <v>1</v>
      </c>
      <c r="AB110" s="86" t="n">
        <f aca="false">AND((L110)&gt;=MIN(Y110),(L110)&lt;=MAX(Z110))</f>
        <v>1</v>
      </c>
      <c r="AC110" s="86" t="n">
        <f aca="false">AND((O110)&gt;=MIN(Y110),(O110)&lt;=MAX(Z110))</f>
        <v>1</v>
      </c>
      <c r="AD110" s="95" t="s">
        <v>946</v>
      </c>
      <c r="AE110" s="88" t="n">
        <f aca="false">2360/5.3/1.2</f>
        <v>371.07</v>
      </c>
      <c r="AF110" s="88" t="n">
        <f aca="false">AE110*F110</f>
        <v>34138.44</v>
      </c>
      <c r="AG110" s="95" t="s">
        <v>947</v>
      </c>
      <c r="AH110" s="88" t="n">
        <f aca="false">385/1.2</f>
        <v>320.83</v>
      </c>
      <c r="AI110" s="89" t="n">
        <f aca="false">AH110*F110</f>
        <v>29516.36</v>
      </c>
      <c r="AJ110" s="95" t="s">
        <v>948</v>
      </c>
      <c r="AK110" s="88" t="n">
        <f aca="false">1990/5.2/1.2</f>
        <v>318.91</v>
      </c>
      <c r="AL110" s="89" t="n">
        <f aca="false">AK110*F110</f>
        <v>29339.72</v>
      </c>
      <c r="AM110" s="91" t="n">
        <f aca="false">AVERAGE(AE110,AH110,AK110)</f>
        <v>336.94</v>
      </c>
      <c r="AN110" s="91" t="n">
        <f aca="false">((G110-AM110)/AM110)*100</f>
        <v>-4.37</v>
      </c>
      <c r="AO110" s="92" t="n">
        <f aca="false">AM110/1.2</f>
        <v>280.78</v>
      </c>
      <c r="AP110" s="92" t="n">
        <f aca="false">AM110*1.2</f>
        <v>404.33</v>
      </c>
      <c r="AQ110" s="86" t="n">
        <f aca="false">AND((AE110)&gt;=MIN(AO110),(AE110)&lt;=MAX(AP110))</f>
        <v>1</v>
      </c>
      <c r="AR110" s="86" t="n">
        <f aca="false">AND((AH110)&gt;=MIN(AO110),(AH110)&lt;=MAX(AP110))</f>
        <v>1</v>
      </c>
      <c r="AS110" s="86" t="n">
        <f aca="false">AND((AK110)&gt;=MIN(AO110),(AK110)&lt;=MAX(AP110))</f>
        <v>1</v>
      </c>
    </row>
    <row r="111" s="38" customFormat="true" ht="104.25" hidden="false" customHeight="true" outlineLevel="0" collapsed="false">
      <c r="A111" s="99" t="n">
        <v>105</v>
      </c>
      <c r="B111" s="102"/>
      <c r="C111" s="220"/>
      <c r="D111" s="57" t="s">
        <v>1158</v>
      </c>
      <c r="E111" s="125" t="s">
        <v>675</v>
      </c>
      <c r="F111" s="227" t="n">
        <v>86.07</v>
      </c>
      <c r="G111" s="32" t="n">
        <f aca="false">Q111</f>
        <v>454.72</v>
      </c>
      <c r="H111" s="95" t="s">
        <v>1159</v>
      </c>
      <c r="I111" s="34" t="n">
        <f aca="false">522/1.2</f>
        <v>435</v>
      </c>
      <c r="J111" s="34" t="n">
        <f aca="false">F111*I111</f>
        <v>37440.45</v>
      </c>
      <c r="K111" s="106" t="s">
        <v>1160</v>
      </c>
      <c r="L111" s="34" t="n">
        <f aca="false">586/1.2</f>
        <v>488.33</v>
      </c>
      <c r="M111" s="34" t="n">
        <f aca="false">F111*L111</f>
        <v>42030.56</v>
      </c>
      <c r="N111" s="106" t="s">
        <v>1161</v>
      </c>
      <c r="O111" s="34" t="n">
        <f aca="false">529/1.2</f>
        <v>440.83</v>
      </c>
      <c r="P111" s="34" t="n">
        <f aca="false">F111*O111</f>
        <v>37942.24</v>
      </c>
      <c r="Q111" s="35" t="n">
        <f aca="false">AVERAGE(I111,L111,O111)</f>
        <v>454.72</v>
      </c>
      <c r="R111" s="36" t="n">
        <f aca="false">G111*100/Q111-100</f>
        <v>0</v>
      </c>
      <c r="S111" s="35" t="n">
        <f aca="false">Q111*F111</f>
        <v>39137.75</v>
      </c>
      <c r="T111" s="37"/>
      <c r="V111" s="151"/>
      <c r="W111" s="151"/>
      <c r="X111" s="151"/>
      <c r="Y111" s="85" t="n">
        <f aca="false">Q111/1.2</f>
        <v>378.93</v>
      </c>
      <c r="Z111" s="85" t="n">
        <f aca="false">Q111*1.2</f>
        <v>545.66</v>
      </c>
      <c r="AA111" s="86" t="n">
        <f aca="false">AND((I111)&gt;=MIN(Y111),(I111)&lt;=MAX(Z111))</f>
        <v>1</v>
      </c>
      <c r="AB111" s="86" t="n">
        <f aca="false">AND((L111)&gt;=MIN(Y111),(L111)&lt;=MAX(Z111))</f>
        <v>1</v>
      </c>
      <c r="AC111" s="86" t="n">
        <f aca="false">AND((O111)&gt;=MIN(Y111),(O111)&lt;=MAX(Z111))</f>
        <v>1</v>
      </c>
      <c r="AD111" s="146"/>
      <c r="AE111" s="228"/>
      <c r="AF111" s="228"/>
      <c r="AG111" s="146"/>
      <c r="AH111" s="228"/>
      <c r="AI111" s="229"/>
      <c r="AJ111" s="146"/>
      <c r="AK111" s="228"/>
      <c r="AL111" s="229"/>
      <c r="AM111" s="230"/>
      <c r="AN111" s="230"/>
      <c r="AO111" s="85"/>
      <c r="AP111" s="85"/>
      <c r="AQ111" s="231"/>
      <c r="AR111" s="231"/>
      <c r="AS111" s="231"/>
    </row>
    <row r="112" s="71" customFormat="true" ht="25.5" hidden="false" customHeight="true" outlineLevel="0" collapsed="false">
      <c r="A112" s="69" t="s">
        <v>687</v>
      </c>
      <c r="B112" s="69"/>
      <c r="C112" s="69"/>
      <c r="D112" s="69"/>
      <c r="E112" s="69"/>
      <c r="F112" s="69"/>
      <c r="G112" s="69"/>
      <c r="H112" s="69"/>
      <c r="I112" s="69"/>
      <c r="J112" s="69"/>
      <c r="K112" s="69"/>
      <c r="L112" s="69"/>
      <c r="M112" s="69"/>
      <c r="N112" s="69"/>
      <c r="O112" s="69"/>
      <c r="P112" s="69"/>
      <c r="Q112" s="35" t="n">
        <f aca="false">SUM(Q11:Q81)</f>
        <v>199338.14</v>
      </c>
      <c r="R112" s="36"/>
      <c r="S112" s="35"/>
      <c r="T112" s="70"/>
    </row>
    <row r="113" s="8" customFormat="true" ht="33" hidden="false" customHeight="true" outlineLevel="0" collapsed="false">
      <c r="A113" s="72"/>
      <c r="B113" s="72"/>
      <c r="C113" s="72"/>
      <c r="D113" s="73"/>
      <c r="E113" s="73"/>
      <c r="F113" s="73"/>
      <c r="G113" s="73"/>
      <c r="H113" s="73"/>
      <c r="I113" s="73"/>
      <c r="J113" s="73"/>
      <c r="K113" s="74"/>
      <c r="L113" s="72"/>
      <c r="M113" s="72"/>
      <c r="N113" s="72"/>
      <c r="O113" s="72"/>
      <c r="P113" s="72"/>
      <c r="Q113" s="72"/>
      <c r="R113" s="72"/>
      <c r="S113" s="72"/>
      <c r="T113" s="72"/>
    </row>
    <row r="114" customFormat="false" ht="15.75" hidden="false" customHeight="true" outlineLevel="0" collapsed="false">
      <c r="D114" s="75" t="s">
        <v>688</v>
      </c>
      <c r="K114" s="74"/>
    </row>
    <row r="115" customFormat="false" ht="15.75" hidden="false" customHeight="true" outlineLevel="0" collapsed="false">
      <c r="K115" s="74"/>
    </row>
    <row r="116" customFormat="false" ht="15" hidden="false" customHeight="true" outlineLevel="0" collapsed="false"/>
    <row r="117" customFormat="false" ht="124.5" hidden="false" customHeight="true" outlineLevel="0" collapsed="false">
      <c r="D117" s="76" t="s">
        <v>689</v>
      </c>
      <c r="E117" s="76"/>
      <c r="F117" s="76"/>
      <c r="G117" s="76"/>
      <c r="H117" s="76"/>
      <c r="I117" s="76"/>
      <c r="J117" s="76"/>
      <c r="K117" s="76"/>
      <c r="L117" s="76"/>
      <c r="M117" s="76"/>
      <c r="N117" s="76"/>
      <c r="O117" s="76"/>
      <c r="P117" s="76"/>
      <c r="Q117" s="76"/>
      <c r="R117" s="76"/>
    </row>
    <row r="118" customFormat="false" ht="15" hidden="false" customHeight="true" outlineLevel="0" collapsed="false"/>
    <row r="119" customFormat="false" ht="32.25" hidden="false" customHeight="true" outlineLevel="0" collapsed="false">
      <c r="D119" s="76" t="s">
        <v>690</v>
      </c>
      <c r="E119" s="76"/>
      <c r="F119" s="76"/>
      <c r="G119" s="76"/>
      <c r="H119" s="76"/>
      <c r="I119" s="76"/>
      <c r="J119" s="76"/>
      <c r="K119" s="76"/>
      <c r="L119" s="76"/>
      <c r="M119" s="76"/>
      <c r="N119" s="76"/>
      <c r="O119" s="76"/>
      <c r="P119" s="76"/>
      <c r="Q119" s="76"/>
      <c r="R119" s="76"/>
    </row>
    <row r="120" customFormat="false" ht="15" hidden="false" customHeight="true" outlineLevel="0" collapsed="false"/>
    <row r="121" customFormat="false" ht="15" hidden="false" customHeight="true" outlineLevel="0" collapsed="false"/>
    <row r="122" customFormat="false" ht="15" hidden="false" customHeight="true" outlineLevel="0" collapsed="false"/>
    <row r="123" customFormat="false" ht="15" hidden="false" customHeight="true" outlineLevel="0" collapsed="false"/>
    <row r="124" customFormat="false" ht="15" hidden="false" customHeight="true" outlineLevel="0" collapsed="false"/>
    <row r="125" customFormat="false" ht="15" hidden="false" customHeight="true" outlineLevel="0" collapsed="false"/>
    <row r="126" customFormat="false" ht="15" hidden="false" customHeight="true" outlineLevel="0" collapsed="false"/>
    <row r="127" customFormat="false" ht="15" hidden="false" customHeight="true" outlineLevel="0" collapsed="false">
      <c r="J127" s="1" t="n">
        <f aca="false">149/130</f>
        <v>1.14615384615385</v>
      </c>
    </row>
  </sheetData>
  <autoFilter ref="A9:AS112"/>
  <mergeCells count="28">
    <mergeCell ref="Q1:T1"/>
    <mergeCell ref="Q2:T2"/>
    <mergeCell ref="A3:Q3"/>
    <mergeCell ref="A5:R5"/>
    <mergeCell ref="A7:A9"/>
    <mergeCell ref="B7:B9"/>
    <mergeCell ref="C7:C9"/>
    <mergeCell ref="D7:D9"/>
    <mergeCell ref="E7:E9"/>
    <mergeCell ref="F7:F9"/>
    <mergeCell ref="G7:G9"/>
    <mergeCell ref="H7:J8"/>
    <mergeCell ref="K7:M8"/>
    <mergeCell ref="N7:P8"/>
    <mergeCell ref="Q7:Q9"/>
    <mergeCell ref="R7:R9"/>
    <mergeCell ref="S7:S9"/>
    <mergeCell ref="T7:T9"/>
    <mergeCell ref="V7:X8"/>
    <mergeCell ref="AD7:AF8"/>
    <mergeCell ref="AG7:AI8"/>
    <mergeCell ref="AJ7:AL8"/>
    <mergeCell ref="AM7:AM9"/>
    <mergeCell ref="AN7:AN9"/>
    <mergeCell ref="A112:P112"/>
    <mergeCell ref="D113:J113"/>
    <mergeCell ref="D117:R117"/>
    <mergeCell ref="D119:R119"/>
  </mergeCells>
  <conditionalFormatting sqref="AN7:AN9">
    <cfRule type="cellIs" priority="2" operator="equal" aboveAverage="0" equalAverage="0" bottom="0" percent="0" rank="0" text="" dxfId="53">
      <formula>0</formula>
    </cfRule>
    <cfRule type="cellIs" priority="3" operator="lessThan" aboveAverage="0" equalAverage="0" bottom="0" percent="0" rank="0" text="" dxfId="54">
      <formula>0</formula>
    </cfRule>
    <cfRule type="cellIs" priority="4" operator="greaterThan" aboveAverage="0" equalAverage="0" bottom="0" percent="0" rank="0" text="" dxfId="55">
      <formula>0</formula>
    </cfRule>
  </conditionalFormatting>
  <conditionalFormatting sqref="AN11:AN111">
    <cfRule type="cellIs" priority="5" operator="equal" aboveAverage="0" equalAverage="0" bottom="0" percent="0" rank="0" text="" dxfId="56">
      <formula>0</formula>
    </cfRule>
    <cfRule type="cellIs" priority="6" operator="lessThan" aboveAverage="0" equalAverage="0" bottom="0" percent="0" rank="0" text="" dxfId="57">
      <formula>0</formula>
    </cfRule>
    <cfRule type="cellIs" priority="7" operator="greaterThan" aboveAverage="0" equalAverage="0" bottom="0" percent="0" rank="0" text="" dxfId="58">
      <formula>0</formula>
    </cfRule>
  </conditionalFormatting>
  <conditionalFormatting sqref="V11:X111">
    <cfRule type="expression" priority="8" aboveAverage="0" equalAverage="0" bottom="0" percent="0" rank="0" text="" dxfId="59">
      <formula>AND(V11&lt;-20,V11&lt;0)</formula>
    </cfRule>
    <cfRule type="expression" priority="9" aboveAverage="0" equalAverage="0" bottom="0" percent="0" rank="0" text="" dxfId="60">
      <formula>AND(V11&gt;20,V11&gt;0)</formula>
    </cfRule>
  </conditionalFormatting>
  <conditionalFormatting sqref="R11:R112">
    <cfRule type="cellIs" priority="10" operator="greaterThan" aboveAverage="0" equalAverage="0" bottom="0" percent="0" rank="0" text="" dxfId="61">
      <formula>0</formula>
    </cfRule>
  </conditionalFormatting>
  <hyperlinks>
    <hyperlink ref="K11" r:id="rId2" display="https://stavropol.leroymerlin.ru/product/germetik-abro-11-ab-ch-re-s-85-g-90715820/?ysclid=llnl6q54jw612658047&amp;fromRegion=34"/>
    <hyperlink ref="N11" r:id="rId3" display="https://new.optorg.ru/catalog/avtomobilnye_tovary_shiny/avtohimiya/germetiki_avtomobilnye/155763/?ysclid=llnks5ytfg726576769"/>
    <hyperlink ref="K12" r:id="rId4" display="https://avtoleon.com/catalog/avtoemali_i_raskhodnye_materialy/avtoemali/industrialnye_emali_ral/grunt_emal_3v1/ral_7040_grunt_emal_korroed_po_rzhavchine_okonnyy_seryy_0_9kg_mister_hardmax/"/>
    <hyperlink ref="N12" r:id="rId5" display="https://stavropol.vseinstrumenti.ru/product/grunt-emal-po-rzhavchine-hardmax-korroed-ral-7035-svetlo-seryj-banka-1-9-kg-1-sht-4690417071609-1853418/?ysclid=llum50i6g0715464475"/>
    <hyperlink ref="H13" r:id="rId6" display="https://avtomaster66.ru/catalog/grunty_1/grunt_emal_mister_hammer_hardmax_korroed_ral_5015_goluboy_po_rzhavchine_1l_0_9kg_kvil_/"/>
    <hyperlink ref="K13" r:id="rId7" display="https://www.chipdip.ru/product0/8008857921"/>
    <hyperlink ref="N13" r:id="rId8" location="searchQuery=Грунт-эмаль+по+ржавчине+HardMax+Корроед+RAL+5015+голубой&amp;searchType=srp" display="https://novorossiysk.vseinstrumenti.ru/product/grunt-emal-po-rzhavchine-hardmax-korroed-ral-5015-goluboj-banka-0-9-kg-1-sht-4690417077977-1853240/#searchQuery=Грунт-эмаль+по+ржавчине+HardMax+Корроед+RAL+5015+голубой&amp;searchType=srp"/>
    <hyperlink ref="AD13" r:id="rId9" display="https://mstroy.ru/catalog/lakokrasochnye_materialy/emali/emali_po_rzhavchine_kvil/grunt_emal_gladkaya/grunt_emal_gladkaya_korroed_po_rzhavchine_ral5005_siniy_1_9kg/?ysclid=lr95vr8m1h18883673"/>
    <hyperlink ref="AG13" r:id="rId10" display="https://ptcpro.ru/catalog/grunt_emal_po_rzhavchine/9278/?ysclid=lr95vcrrtb830438952"/>
    <hyperlink ref="AJ13" r:id="rId11" display="https://tulasnab.ru/grunt-emal-korroed-mister-hardmax-ral-5005-sinij-po-rgavchine-19kg-kvil"/>
    <hyperlink ref="H14" r:id="rId12" display="https://www.chipdip.ru/product0/8018241708?ysclid=lnnc3szz4c293021830"/>
    <hyperlink ref="K14" r:id="rId13" display="https://avtomaster66.ru/catalog/grunty_1/grunt_emal_mister_hammer_hardmax_korroed_ral_3011_krasno_korichnevaya_po_rzhavchine_1l_0_9kg_kvil/?ysclid=lnnc6qp3ku546632107"/>
    <hyperlink ref="N14" r:id="rId14" location="searchQuery=Грунт-эмаль+по+ржавчине+HardMax+Корроед+красный&amp;searchType=srp" display="https://novorossiysk.vseinstrumenti.ru/product/grunt-emal-po-rzhavchine-hardmax-korroed-ral-3011-krasno-korichnevyj-banka-0-9-kg-1-sht-4690417071241-1853225/#searchQuery=Грунт-эмаль+по+ржавчине+HardMax+Корроед+красный&amp;searchType=srp"/>
    <hyperlink ref="AD14" r:id="rId15" display="https://ptcpro.ru/catalog/grunt_emal_po_rzhavchine/9277/?ysclid=lr974d4cvw826429706"/>
    <hyperlink ref="AG14" r:id="rId16" display="https://www.vseinstrumenti.ru/product/grunt-emal-po-rzhavchine-hardmax-korroed-ral-3011-krasno-korichnevyj-banka-1-9-kg-1-sht-4690417071258-1853226/?ysclid=lr970b2cvx643770471"/>
    <hyperlink ref="AJ14" r:id="rId17" display="https://www.chipdip.ru/product0/8018241705"/>
    <hyperlink ref="H15" r:id="rId18" display="https://www.kirelis.ru/catalog/kolca/vtylki-myvp/id_30848/"/>
    <hyperlink ref="N15" r:id="rId19" display="https://antisplash.ru/koltso-uprugoe-muvp-k3-35kh18kh9kh4-5"/>
    <hyperlink ref="AD15" r:id="rId20" display="https://rezina74.ru/catalog/uplotnitelnyye-koltsa/koltsa-i-vtulki-muvp/103553/?ysclid=lr98kh57eb461942727"/>
    <hyperlink ref="AG15" r:id="rId21" display="https://antisplash.ru/koltso-uprugoe-muvp-k3-35kh18kh9kh4-5?yclid=4043379713605631999"/>
    <hyperlink ref="AJ15" r:id="rId22" display="https://www.kirelis.ru/catalog/kolca/vtylki-myvp/id_30848/?ysclid=lr98k0o2hp926239490"/>
    <hyperlink ref="H16" r:id="rId23" display="https://aquacentr18.ru/catalog/zapornaya_armatura/kran_sharovyy_du15_gg_babochka_pro_aqua/"/>
    <hyperlink ref="K16" r:id="rId24" display="https://stmgroup.ru/goods/kran-sarovyj-vn-vn-12-bab-pro-aqua-fwb63-f15-f15x?ysclid=lnn0hvtj5u790161172"/>
    <hyperlink ref="N16" r:id="rId25" display="https://www.etm.ru/cat/nn/6219190?ysclid=lnn0i717kf57925310&amp;city=77"/>
    <hyperlink ref="H17" r:id="rId26" display="https://www.etm.ru/cat/nn/2386322?ysclid=lnn17vsbvg856756019&amp;city=77"/>
    <hyperlink ref="K17" r:id="rId27" display="https://novorossiysk.vseinstrumenti.ru/product/sharovoj-polnoprohodnoj-kran-pro-aqua-v-v-ruchka-rychag-1-fwl51-f25-f25x-978114/?ysclid=lnn119nu9u716721344"/>
    <hyperlink ref="N17" r:id="rId28" display="https://www.teremonline.ru/catalog/inzhenernaya-santekhnika/zapornoreguliruyushchaya-armatura/1673_krany-sharovye/pro-aqua-fwl51f25f25x-pro-aqua-d-1-kran-sharovoy-polnoprokhodnoy-ruchkarychag-vv/?ysclid=lnn11fl0aw223348086"/>
    <hyperlink ref="H18" r:id="rId29" display="https://www.proaqua.pro/catalog/armatura/sharovye-krany/sharovye-krany-spetsialnogo-naznacheniya/kran-uglovoy-s-160-patrubkom-dlya-shlanga-ruchka-rychag39/?ysclid=lnn1iukr2j945232635"/>
    <hyperlink ref="K18" r:id="rId30" display="https://www.etm.ru/cat/nn/7406373?ysclid=lnn1j0vvah650562446&amp;city=77"/>
    <hyperlink ref="N18" r:id="rId31" display="https://www.teremonline.ru/catalog/inzhenernaya-santekhnika/zapornoreguliruyushchaya-armatura/1673_krany-sharovye/pro-aqua-ewl55m15x-pro-aqua-d-12-kran-uglovoy-s-patrubkom-dlya-shlanga-ruchkarychag-n/?ysclid=lnn1ixv7ug729964205"/>
    <hyperlink ref="H19" r:id="rId32" display="https://www.proaqua.pro/catalog/armatura/sharovye-krany/sharovye-krany-spetsialnogo-naznacheniya/kran-uglovoy-s-160-patrubkom-dlya-shlanga-ruchka-rychag39/?ysclid=lnn1iukr2j945232635"/>
    <hyperlink ref="K19" r:id="rId33" display="https://www.etm.ru/cat/nn/6817682"/>
    <hyperlink ref="N19" r:id="rId34" display="https://www.teremonline.ru/catalog/inzhenernaya-santekhnika/zapornoreguliruyushchaya-armatura/1673_krany-sharovye/pro-aqua-ewl55m20x-pro-aqua-d-34-kran-uglovoy-s-patrubkom-dlya-shlanga-ruchkarychag-n/"/>
    <hyperlink ref="AD20" r:id="rId35" display="https://snabinstrument.ru/catalog/abrazivnyy_instrument/izdeliya_iz_shlifshkurki/krugi_shlifovalnye/krugi_lepestkovye_tortsevye/krug_lepestkovyy_tortsevoy_klt2_125kh22_40n_r40_kk10khw_tu_3980_006_00223332_2006_baz/?ysclid=lra8ac92of558038666"/>
    <hyperlink ref="AG20" r:id="rId36" display="https://svarog-tk.ru/goods/abrasives/29/3321/?product=3321"/>
    <hyperlink ref="AJ20" r:id="rId37" display="https://www.vseinstrumenti.ru/product/krug-lepestkovyj-tortsevoj-125x22-2-mm-p40-gigant-grf-40-1492522/?ysclid=lra88n68wk527561771"/>
    <hyperlink ref="H21" r:id="rId38" display="https://ru.lukoil-shop.com/catalog/legkovye_avtomobili/motornye_masla/maslo_motornoe_lukoyl_super_15w_40_sg_cd/?ysclid=lozhj2wyln789992910"/>
    <hyperlink ref="K21" r:id="rId39" display="https://www.vseinstrumenti.ru/product/motornoe-maslo-lukojl-avangard-sae-15w-40-api-cf-4-sg-5-l-19309-4825129/"/>
    <hyperlink ref="N21" r:id="rId40" display="https://baza.drom.ru/vladivostok/chemistry/motoroil/lukojl-avangard-ultra-m3-sae-15w40-api-ci-4-sl-105001880.html"/>
    <hyperlink ref="AD21" r:id="rId41" display="https://megamarket.ru/catalog/details/maslo-motornoe-lukoil-19195-100001150034/?ysclid=lra95z7lkr929975457"/>
    <hyperlink ref="AG21" r:id="rId42" display="https://www.vseinstrumenti.ru/product/motornoe-maslo-lukojl-super-sae-15w-40-api-sg-cd-4-l-19195-3059288/?ysclid=lra8x7rpr92387993"/>
    <hyperlink ref="AJ21" r:id="rId43" display="https://ru.lukoil-shop.com/catalog/legkovye_avtomobili/motornye_masla/maslo_motornoe_lukoyl_super_15w_40_sg_cd/?ysclid=lra8x2yo4t690392950"/>
    <hyperlink ref="N22" r:id="rId44" display="https://vodaiteplo-online.ru/catalog/vodonagrevatel_thermex_drift_10_o/"/>
    <hyperlink ref="AG22" r:id="rId45" display="https://vodaiteplo-online.ru/catalog/vodonagrevatel_thermex_drift_10_o/?yclid=2242940148256866303"/>
    <hyperlink ref="H23" r:id="rId46" display="https://shsl.ru/smesitel-dlya-vanny-s-dushem-psm-profsan-psm-150-k80-standart-b-tip-sm-vudrnshlr/?ysclid=loznv22ugh312817747"/>
    <hyperlink ref="K23" r:id="rId47" display="https://yaropt24.ru/product/smesitel-dlya-vanny-sm-vudrnshla-ks-63007263-rossiya-kazan-gost-25809-96/"/>
    <hyperlink ref="N23" r:id="rId48" display="https://www.vseinstrumenti.ru/product/smesitel-dlya-vanny-s-dushem-profsan-psm-tip-sm-vudrnshlr-psm-150-89-1651200/?ysclid=loznto0gsg531057395"/>
    <hyperlink ref="AD23" r:id="rId49" display="https://snabsan.ru/Smesitel_dlya_vanny_s_dushem_PSM-PROFSAN_PSM-150-K89_STANDART-B_tip_Sm-VUDRNShlr/?ysclid=lrabpxo517806531528"/>
    <hyperlink ref="AG23" r:id="rId50" display="https://shsl.ru/smesitel-dlya-vanny-s-dushem-psm-profsan-psm-150-k80-standart-b-tip-sm-vudrnshlr/?ysclid=lrabm7iupc681723541"/>
    <hyperlink ref="AJ23" r:id="rId51" display="https://www.vseinstrumenti.ru/product/smesitel-dlya-vanny-s-dushem-profsan-psm-tip-sm-vudrnshlr-psm-150-89-1651200/?ysclid=lrabew9rrs543056329"/>
    <hyperlink ref="AD24" r:id="rId52" display="https://shsl.ru/smesitel-dlya-rakoviny-psm-profsan-psm-740-008-plyus-tip-sm-umotsba/?ysclid=lrad4pfspa191109063"/>
    <hyperlink ref="AG24" r:id="rId53" display="https://market.yandex.ru/product--profsan-psm-smesitel-dlia-rakoviny-seriia-komplektatsiia-tip-gost-sm-umotsba-psm-104-5/1446274854?sku=101457051894&amp;do-waremd5=MN4R_cxAyC16qpqPK8PM2A&amp;uniqueId=923915"/>
    <hyperlink ref="AJ24" r:id="rId54" display="https://www.vseinstrumenti.ru/product/smesitel-dlya-rakoviny-profsan-psm-tip-gost-sm-umotsba-psm-759-044-2191972/?ysclid=lrad3eadg2536433745"/>
    <hyperlink ref="H25" r:id="rId55" display="https://opensea.ru/compressor-a25067.htm?ysclid=lozru3t0d0163429978"/>
    <hyperlink ref="K25" r:id="rId56" display="https://stardive.ru/shop/detailed_layout/id/1094"/>
    <hyperlink ref="N25" r:id="rId57" display="https://shop-compressor.ru/shop/detailed_layout/id/2088"/>
    <hyperlink ref="AD25" r:id="rId58" display="https://shop-compressor.ru/shop/detailed_layout/id/2088"/>
    <hyperlink ref="AG25" r:id="rId59" display="https://opensea.ru/compressor-a25067.htm?ysclid=lozru3t0d0163429978"/>
    <hyperlink ref="AJ25" r:id="rId60" display="https://stardive.ru/shop/detailed_layout/id/1094"/>
    <hyperlink ref="H26" r:id="rId61" display="https://scuba-shop.ru/shop/tov/2000/kartridzh-fil-tra-bauer-p41-co-067224.html"/>
    <hyperlink ref="K26" r:id="rId62" display="https://shop-compressor.ru/shop/detailed_layout/id/2087"/>
    <hyperlink ref="N26" r:id="rId63" display="https://stardive.ru/shop/detailed_layout/id/1093"/>
    <hyperlink ref="AD26" r:id="rId64" display="https://scuba-shop.ru/shop/tov/2000/kartridzh-fil-tra-bauer-p41-co-067224.html"/>
    <hyperlink ref="AG26" r:id="rId65" display="https://shop-compressor.ru/shop/detailed_layout/id/2087"/>
    <hyperlink ref="AJ26" r:id="rId66" display="https://stardive.ru/shop/detailed_layout/id/1093"/>
    <hyperlink ref="H27" r:id="rId67" display="https://www.etm.ru/cat/nn/9413754"/>
    <hyperlink ref="K27" r:id="rId68" display="https://www.bigms.ru/catalog/product/mufta_soedinitelnaya_ravnoprokhodnaya_16_dlya_trub_iz_sshitogo_polietilena_tece_teceflex_latun_76601"/>
    <hyperlink ref="N27" r:id="rId69" display="https://www.santexbaza.ru/truby-iz-sshitogo-polietilena-i-fitingi-uponor/fitingi-dlya-trub-iz-sshitogo-polietilena-pe-xa-uponor/mufta-soedinitelnaya-uponor/mufta-soedinitelnaya-16-uponor/?ysclid=lozsft4qsl564589963"/>
    <hyperlink ref="K29" r:id="rId70" display="https://www.etm.ru/cat/nn/7034263"/>
    <hyperlink ref="H31" r:id="rId71" display="https://www.vseinstrumenti.ru/product/ugolok-soedinitelnyj-16-mm-1-2-tsanga-shtutser-dlya-truboprovoda-zubr-51409-16-1-2-231878/"/>
    <hyperlink ref="K31" r:id="rId72" display="https://exist.ru/Catalog/Goods/36/1025/AB70F01A"/>
    <hyperlink ref="N31" r:id="rId73" display="http://www.tovarpost.ru/web/tovarpost.asp?action=tovpod&amp;elem=5966763"/>
    <hyperlink ref="H32" r:id="rId74" display="https://www.elektro.ru/product/mufta_soedinitelnaya_stm-20_3_4_fortisflex_2/"/>
    <hyperlink ref="K32" r:id="rId75" display="https://www.chipdip.ru/product0/8010128096"/>
    <hyperlink ref="N32" r:id="rId76" display="https://www.etm.ru/cat/nn/6032007?city=77"/>
    <hyperlink ref="H33" r:id="rId77" display="https://valtec.ru/catalog/sistemy_metallopolimernyh_i_polimernyh_truboprovodov/obzhimnye_fitingi/fiting_objimnoj_trojnik_s_perehodom_na_narujnuyu_rezbu_vtm333n.html"/>
    <hyperlink ref="K33" r:id="rId78" display="https://tdsayany.ru/catalogue/show/troynik-obzhimnoy-s-perehodom-na-nar-r/"/>
    <hyperlink ref="N33" r:id="rId79" display="https://www.bigam.ru/product/valtec-1083844/"/>
    <hyperlink ref="H34" r:id="rId80" display="https://fwater.ru/catalog/fitingi_dlya_trub/fitingi_obzhimnye_dlya_trub_metalloplastikovykh_/valtec_3/troynik_s_perekhodom_na_naruzhnuyu_rezbu_20_mm_kh_1_2_valtec/"/>
    <hyperlink ref="K34" r:id="rId81" display="https://www.termokit.ru/product/fiting_obzhimnoy_troynik_s_perekhodom_na_naruzhnuyu_rezbu_valtec_20_x_1_2.htm"/>
    <hyperlink ref="N34" r:id="rId82" display="https://aksis63.ru/catalog/metalloplastikovye_truby_i_fitingi/vtm_333_troynik_obzhimnoy_s_perekhodom_na_naruzhnuyu_rezbu_20_1_2_20_ts_nar_ts/"/>
    <hyperlink ref="H35" r:id="rId83" display="https://www.tim-ru.ru/products/349526399-press_fiting_ugolok_nikelirovanny_20_20_f_l2020n"/>
    <hyperlink ref="K35" r:id="rId84" location="characteristics" display="https://www.vseinstrumenti.ru/product/ugolok-aqualink-perehodnoj-1-2x3-4-vn-vn-tsena-za-upakovku-10-sht-art-2560-1746361/#characteristics"/>
    <hyperlink ref="N35" r:id="rId85" display="https://dn.ru/polietilenovye-truby-i-fitingi/ugolki/rtp/ugolok-axi-vr/dn20-1-2"/>
    <hyperlink ref="H36" r:id="rId86" display="https://tim-com.ru/katalog-tim/press-fiting-ugolok-c320---1-2-vnutrennyaya-c320-mm"/>
    <hyperlink ref="K36" r:id="rId87" display="https://promportal.su/goods/44188258/press-fiting-ugolok-nikelirovanniy-20-20-f-l2020n.htm"/>
    <hyperlink ref="N36" r:id="rId88" display="https://tim-rif.ru/products/press-fiting-ugolok-nikelirovannyj-f-20x20-tim-f-l2020n"/>
    <hyperlink ref="H37" r:id="rId89" location="searchQuery=Подшипник+308&amp;searchType=srp" display="https://novorossiysk.vseinstrumenti.ru/product/podshipnik-cnic-uzel-ucp308-podshipnik-uc308-v-arochnom-korpuse-65231-2042508/#searchQuery=Подшипник+308&amp;searchType=srp"/>
    <hyperlink ref="K37" r:id="rId90" display="https://new.optorg.ru/catalog/avtozapchasti/industrialnye_podshipniki/podshipniki/238505/"/>
    <hyperlink ref="N37" r:id="rId91" display="https://bearingstore.ru/catalog/podshipniki_podshipnikovye_uzly_i_detali/podshipnikovye_uzly_korpusa_i_komplektuyushchie/podshipnikovye_uzly_i_komplektuyushchie_osnovnogo_primeneniya/72074/?ysclid=lnn5dbbf7v216585646"/>
    <hyperlink ref="H38" r:id="rId92" display="https://fetparts.ru/products/AQUALINK/02358.html"/>
    <hyperlink ref="K38" r:id="rId93" display="https://goodmag.ru/product/aqualine-podvodka-gibkaya-dlya-vody-s-nak-gaykoy-latun-v-stalnoy-opletke-1-2-400-sm-vn-nar-2358/"/>
    <hyperlink ref="N38" r:id="rId94" display="https://arsenal007.ru/catalog/khoztovary/santekhnika/podvodka/aqualine-podvodka-gibkaya-dlya-vodyi-s-nak-gaykoy-latun-v-stalnoy-opletke-1-2-400-sm--vn-nar-2358-art-719297/"/>
    <hyperlink ref="H39" r:id="rId95" display="https://www.kraska-ekb.ru/goods/81268106-grunt_emal_antikorroziynaya_dv_106"/>
    <hyperlink ref="K39" r:id="rId96" display="https://bizorg.su/grunt-emal-r/p27961380-gruntemal-po-rzhavchine-dv106-tsveto"/>
    <hyperlink ref="N39" r:id="rId97" display="https://krasnodar.pulscen.ru/products/grunt_emal_antikorroziynaya_dv_106_81268106"/>
    <hyperlink ref="AD39" r:id="rId98" display="https://bizorg.su/grunt-emal-r/p27961380-gruntemal-po-rzhavchine-dv106-tsveto"/>
    <hyperlink ref="AG39" r:id="rId99" display="https://www.kraska-ekb.ru/goods/81268106-grunt_emal_antikorroziynaya_dv_106"/>
    <hyperlink ref="AJ39" r:id="rId100" display="https://krasnodar.pulscen.ru/products/grunt_emal_antikorroziynaya_dv_106_81268106"/>
    <hyperlink ref="H40" r:id="rId101" display="https://www.kraska-ekb.ru/goods/81268106-grunt_emal_antikorroziynaya_dv_106"/>
    <hyperlink ref="K40" r:id="rId102" display="https://bizorg.su/grunt-emal-r/p27961380-gruntemal-po-rzhavchine-dv106-tsveto"/>
    <hyperlink ref="N40" r:id="rId103" display="https://krasnodar.pulscen.ru/products/grunt_emal_antikorroziynaya_dv_106_81268106"/>
    <hyperlink ref="AD40" r:id="rId104" display="https://bizorg.su/grunt-emal-r/p27961380-gruntemal-po-rzhavchine-dv106-tsveto"/>
    <hyperlink ref="AG40" r:id="rId105" display="https://www.kraska-ekb.ru/goods/81268106-grunt_emal_antikorroziynaya_dv_107"/>
    <hyperlink ref="AJ40" r:id="rId106" display="https://krasnodar.pulscen.ru/products/grunt_emal_antikorroziynaya_dv_106_81268107"/>
    <hyperlink ref="K41" r:id="rId107" display="https://4mycar.ru/parts/Sakura/EF51040"/>
    <hyperlink ref="AD41" r:id="rId108" display="https://stalfilters.ru/filtr-toplivnyy-st20908-150-1r0793-26560163-ef51040-1r1803/?ysclid=lrak10zrwq777187621"/>
    <hyperlink ref="AG41" r:id="rId109" display="https://stal.market/filtr-toplivnyy-st20908-150-1r0793-26560163-ef51040-1r1803/?ysclid=lrajwv9zs3971250078"/>
    <hyperlink ref="AJ41" r:id="rId110" display="https://mts124.ru/product/filtr-toplivnyy-st20908-1-50-1r0793-26560163-ef51040-1r1803-58172/"/>
    <hyperlink ref="AD42" r:id="rId111" display="https://promintel.com/products/ff167a-filtr-kartridzh-toplivnyy-fleetguard?ysclid=lrakl1m7ml123791948"/>
    <hyperlink ref="AG42" r:id="rId112" display="https://euroauto.ru/firms/fleetguard/ff167a/?ysclid=lrakia4gtm380241399"/>
    <hyperlink ref="AJ42" r:id="rId113" display="https://maslomarket.com/catalog/filters/the-fuel-filters/filtr-toplivnyy-fleetguard-ff167a/?ysclid=lrakdq5vt6532307090"/>
    <hyperlink ref="K43" r:id="rId114" display="https://gik43.ru/filtr-toplivnyy-goodwill-fg1050eco-605013-ef-5102-26560201-sk3380"/>
    <hyperlink ref="N43" r:id="rId115" display="https://baza.drom.ru/krasnoyarsk/sell_spare_parts/filtr-toplivnyj-fg1050eco-fg1050eco-g13022100678.html"/>
    <hyperlink ref="AD43" r:id="rId116" display="https://impart.online/catalog/fg1050eco-filtr-toplivnyy-goodwill-1qqxv1d/?ysclid=lral5t13gt289495644"/>
    <hyperlink ref="AG43" r:id="rId117" display="https://gik43.ru/filtr-toplivnyy-goodwill-fg1050eco-605013-ef-5102-26560201-sk3380"/>
    <hyperlink ref="AJ43" r:id="rId118" display="https://ugk174.ru/catalog/filtry/filtr_toplivnyj_goodwill_fg1050eco_605013_ef_5102_26560201_sk3380/?ysclid=lrakro7vk4945263656"/>
    <hyperlink ref="H44" r:id="rId119" display="https://rs24.ru/product/2313919"/>
    <hyperlink ref="K44" r:id="rId120" display="https://www.chipdip.ru/product0/8007133241"/>
    <hyperlink ref="N44" r:id="rId121" display="https://dc-electro.ru/catalog/products/vyklyuchatel-avtomaticheskiy-modulnyy-3p-d-40a-c60n-sche-m9f12340/"/>
    <hyperlink ref="H45" r:id="rId122" display="https://autopiter.ru/goods/614500/sintec/id53355745"/>
    <hyperlink ref="K45" r:id="rId123" location="?details_block=reviews" display="https://megamarket.ru/catalog/details/antifriz-sintec-krasno-oranzhevyy-gotovyy-antifriz-5kg-614500-100022894432/otzyvy/#?details_block=reviews"/>
    <hyperlink ref="N45" r:id="rId124" display="https://avtospectr.com/market/sintec-antifriz-lux-g12-krasnyj-01l/"/>
    <hyperlink ref="AD45" r:id="rId125" display="https://megamarket.ru/catalog/details/antifriz-sintec-krasno-oranzhevyy-gotovyy-antifriz-10kg-756665-100022894461/?ysclid=lramk3bn9y757071591"/>
    <hyperlink ref="AG45" r:id="rId126" display="https://www.wildberries.ru/catalog/102878995/detail.aspx"/>
    <hyperlink ref="AJ45" r:id="rId127" display="https://optorg.ru/catalog/avtomobilnye_tovary_shiny/avtohimiya/antifrizy_tosoly/161247/"/>
    <hyperlink ref="H46" r:id="rId128" display="https://www.manometer-spb.ru/catalog/manometry/tekhnicheskie/3078/"/>
    <hyperlink ref="K46" r:id="rId129" display="https://manometry.ru/mp3-uf"/>
    <hyperlink ref="N46" r:id="rId130" display="https://mera-tek.ru/catalog/manometry/mp3-uf-1-mpa-kl-1-5-m20kh1-5/"/>
    <hyperlink ref="AD46" r:id="rId131" display="https://tdatm.ru/catalog/kontrolno_izmeritelnye_pribory_kipia/sredstva_izmereniya_davleniya/manometry/manometr_mp3_uf_0_16_mpa_kt_1_5_d_100_ip40_m20_1_5_rsh.html?ysclid=lrehxw9wvk944054918"/>
    <hyperlink ref="AG46" r:id="rId132" display="https://www.rustenergo.ru/catalog/pribory-dlya-izmereniya-neelektricheskikh-velichin/manometry-tekhnicheskie/mp3-uf/mp3-uf-0-16-0-mpa-kl-t-1-5-manometr-/?ysclid=lramwgbykb590014002"/>
    <hyperlink ref="AJ46" r:id="rId133" display="https://krasnodar.mera-tek.ru/catalog/manometry/mp3-uf-16-kgs-sm2-kl-1-5-m20kh1-5/?ysclid=lrei328o57511096383"/>
    <hyperlink ref="H47" r:id="rId134" display="https://nevinnomisk.specarmatura.ru/catalog/manometry_tekhnicheskie_fiztekh/manometr_mp3_uf_0_1_6_atm_ip40_m20_1_5_rsh/"/>
    <hyperlink ref="K47" r:id="rId135" display="https://sale-instrument.ru/product/manometr-fizteh-mp3-uf-isp-eko-0-1-6-mpa-kt-1-5-d-100-ip40-g1-2-rsh-1754923532.html"/>
    <hyperlink ref="N47" r:id="rId136" display="https://kupi-kip.ru/product/manometr-tehnicheskij-fizteh-mp3-uf-v-ispolnenii-eko/"/>
    <hyperlink ref="AD47" r:id="rId137" display="https://www.kipa18.ru/goods/106412975-manometr_mp3_uf_0_1_6_mpa_kt_1_5_d_100_ip40_m20_1_5_rsh"/>
    <hyperlink ref="AG47" r:id="rId138" display="https://intersens.ru/product/manometer-mp3-uf-isp-eko-0-1-6-mpa-kt-1-5-d-100-ip40-m20-1-5-rsh/?ysclid=lrej33wn3b834774274"/>
    <hyperlink ref="AJ47" r:id="rId139" display="https://tdatm.ru/catalog/kontrolno_izmeritelnye_pribory_kipia/sredstva_izmereniya_davleniya/manometry/manometr_mp3_uf_isp_eko_0_1_6_mpa_kt_1_5_d_100_ip40_m20_1_5_rsh_gp.html"/>
    <hyperlink ref="H48" r:id="rId140" display="https://vsemanometri.ru/catalog/ekonom_variant/manometry_tekhnicheskie_mp3_uf_eko/"/>
    <hyperlink ref="K48" r:id="rId141" display="https://www.manometer-spb.ru/catalog/manometry/tekhnicheskie/2770/"/>
    <hyperlink ref="N48" r:id="rId142" display="https://lab-oborudovanie.ru/catalog/manometrt-mp3-u-eko-0-2-5-mpa/"/>
    <hyperlink ref="AD48" r:id="rId143" display="https://pritok.info/shop/goods/manometr-mp3-uf-isp-eko-0-25-mpa-rsh--kt15---d100---IP40---m20-15--1098198185?ysclid=lrejleyr5d630555802"/>
    <hyperlink ref="AG48" r:id="rId144" display="https://tdatm.ru/catalog/kontrolno_izmeritelnye_pribory_kipia/sredstva_izmereniya_davleniya/manometry/manometr_mp3_uf_isp_eko_0_2_5_mpa_kt_1_5_d_100_ip40_m20_1_5_rsh.html"/>
    <hyperlink ref="H49" r:id="rId145" display="https://tdatm.ru/catalog/kontrolno_izmeritelnye_pribory_kipia/sredstva_izmereniya_davleniya/manometry/manometr_mp3_uf_isp_eko_0_1_mpa_kt_1_5_d_100_ip40_g1_2_rsh.html"/>
    <hyperlink ref="K49" r:id="rId146" display="https://vsemanometri.ru/catalog/ekonom_variant/manometry_tekhnicheskie_mp3_uf_eko/"/>
    <hyperlink ref="N49" r:id="rId147" display="https://www.manometer-spb.ru/catalog/manometry/tekhnicheskie/2766/"/>
    <hyperlink ref="AD49" r:id="rId148" display="https://afkmarket.ru/catalog/pribory-ucheta-i-kipia/manometry/30964/"/>
    <hyperlink ref="AG49" r:id="rId149" display="https://lab-oborudovanie.ru/catalog/manometrt-mp3-uf-eko-0-4-mpa/"/>
    <hyperlink ref="AJ49" r:id="rId150" display="https://www.manometer-spb.ru/catalog/manometry/tekhnicheskie/2771/"/>
    <hyperlink ref="H50" r:id="rId151" display="https://lab-oborudovanie.ru/catalog/manometrt-mp3-uf-eko-0-1-6-mpa/"/>
    <hyperlink ref="K50" r:id="rId152" display="https://www.manometer-spb.ru/catalog/manometry/tekhnicheskie/2775/"/>
    <hyperlink ref="N50" r:id="rId153" display="https://vsemanometri.ru/catalog/ekonom_variant/manometry_tekhnicheskie_mp3_uf_eko/"/>
    <hyperlink ref="AD50" r:id="rId154" display="https://lab-oborudovanie.ru/catalog/manometrt-mp3-uf-eko-0-6-mpa/"/>
    <hyperlink ref="AG50" r:id="rId155" display="https://www.manometer-spb.ru/catalog/manometry/tekhnicheskie/2772/"/>
    <hyperlink ref="AJ50" r:id="rId156" display="https://lab-oborudovanie.ru/catalog/manometrt-mp3-uf-eko-0-6-mpa/"/>
    <hyperlink ref="H51" r:id="rId157" display="https://manometry.ru/tm-320r"/>
    <hyperlink ref="K51" r:id="rId158" display="https://manocentr.ru/category/manometry/vibroustojchivye-manometry/vibroustojchivyj-manometr-tm-320r/"/>
    <hyperlink ref="N51" r:id="rId159" display="https://ingenerseti.ru/product/manometr_tm_320r_00_0_2_5_mra_m12_1_5_zapolnenie_silikon_radialnyy_rosma/"/>
    <hyperlink ref="AD51" r:id="rId160" display="https://manometr-rsc.ru/catalog/tm-320-0-2-5mpa-g-1-4-1-5/?ysclid=lrely9ti1g727016875"/>
    <hyperlink ref="AG51" r:id="rId161" display="https://dn.ru/kipia/manometry/radialnyi/rosma/tm-320r-do-10mpa/0-2-5mpa-m12-1-5?ysclid=lreludfknv105936068"/>
    <hyperlink ref="AJ51" r:id="rId162" display="https://krasnodar.mera-tek.ru/catalog/manometry/tm-320r-00-0-0-25-mpa-m12kh1-5-1-5/?ysclid=lreltze8nn744889761"/>
    <hyperlink ref="H52" r:id="rId163" display="https://www.fiztech.ru/catalog/manometry/693/"/>
    <hyperlink ref="K52" r:id="rId164" display="https://afkmarket.ru/catalog/pribory-ucheta-i-kipia/manometry/29576/"/>
    <hyperlink ref="N52" r:id="rId165" display="https://lab-oborudovanie.ru/catalog/manometr-dm2010-isp-5-0-10-mpa/"/>
    <hyperlink ref="AD52" r:id="rId166" display="https://afkmarket.ru/catalog/pribory-ucheta-i-kipia/manometry/29589/"/>
    <hyperlink ref="AG52" r:id="rId167" display="https://msk.specarmatura.ru/catalog/manometry_elektrokontaktnye_fiztekh/manometr_dm2010f_isp_v_0_10_0_atm_ip40_m20kh1_5_rsh/"/>
    <hyperlink ref="AJ52" r:id="rId168" display="https://lab-oborudovanie.ru/catalog/manometr-dm2010-isp-5-0-1-mpa/"/>
    <hyperlink ref="H53" r:id="rId169" display="https://nevinnomisk.specarmatura.ru/catalog/manometry_elektrokontaktnye_fiztekh/manometr_dm2010f_isp_v_0_10_0_atm_ip40_m20kh1_5_rsh/"/>
    <hyperlink ref="K53" r:id="rId170" display="https://afkmarket.ru/catalog/pribory-ucheta-i-kipia/manometry/29576/"/>
    <hyperlink ref="N53" r:id="rId171" display="https://www.manometer-spb.ru/catalog/manometry/elektrokontaktnye_ekm/6686/"/>
    <hyperlink ref="AD53" r:id="rId172" display="https://afkmarket.ru/catalog/pribory-ucheta-i-kipia/manometry/29594/"/>
    <hyperlink ref="AG53" r:id="rId173" display="https://msk.specarmatura.ru/catalog/manometry_elektrokontaktnye_fiztekh/manometr_dm2010f_isp_v_0_100_0_atm_ip40_m20kh1_5_rsh/"/>
    <hyperlink ref="AJ53" r:id="rId174" display="https://lab-oborudovanie.ru/catalog/manometr-dm2010-isp-5-0-10-mpa/"/>
    <hyperlink ref="H54" r:id="rId175" display="https://nevinnomisk.specarmatura.ru/catalog/manometry_elektrokontaktnye_fiztekh/manometr_dm2010f_isp_v_0_1_6_atm_ip40_m20kh1_5_rsh/"/>
    <hyperlink ref="K54" r:id="rId176" display="https://pro-com.ru/catalog/instrument_i_sredstva_zashchity/instrument_pnevmaticheskiy_/prinadlezhnosti_dlya_pnevmoinstrumenta_/manometry/manometr_dm2010f_isp_v_0_16_mpa_kt_1_5_d_100_ip40_m20_1_5_rsh/"/>
    <hyperlink ref="N54" r:id="rId177" display="https://manometry.ru/dm2010f"/>
    <hyperlink ref="AD54" r:id="rId178" display="https://afkmarket.ru/catalog/pribory-ucheta-i-kipia/manometry/29598/"/>
    <hyperlink ref="AG54" r:id="rId179" display="https://msk.specarmatura.ru/catalog/manometry_elektrokontaktnye_fiztekh/manometr_dm2010f_isp_v_0_1_6_atm_ip40_m20kh1_5_rsh/"/>
    <hyperlink ref="AJ54" r:id="rId180" location="char" display="https://lab-oborudovanie.ru/catalog/manometr-dm2010-isp-5-0-16-mpa/#char"/>
    <hyperlink ref="H55" r:id="rId181" display="https://nevinnomisk.specarmatura.ru/catalog/manometry_elektrokontaktnye_fiztekh/manometr_dm2010f_isp_v_0_1_6_atm_ip40_m20kh1_5_rsh/"/>
    <hyperlink ref="K55" r:id="rId182" display="https://mera-tek.ru/catalog/manometry/dm2010f-1-6-mpa-kl-1-5-isp-v-bez-flantsa/"/>
    <hyperlink ref="AD55" r:id="rId183" display="https://afkmarket.ru/catalog/pribory-ucheta-i-kipia/manometry/112560/"/>
    <hyperlink ref="AG55" r:id="rId184" display="https://tdatm.ru/catalog/kontrolno_izmeritelnye_pribory_kipia/sredstva_izmereniya_davleniya/manometry/manometr_dm2010f_isp_v_0_160_kpa_kt_1_5_d_100_ip40_m20_1_5_rsh.html"/>
    <hyperlink ref="AJ55" r:id="rId185" display="https://lab-oborudovanie.ru/catalog/manometr-dm2010-isp-5-0-0-16-mpa/"/>
    <hyperlink ref="H56" r:id="rId186" display="https://manometry.ru/dm2010f"/>
    <hyperlink ref="K56" r:id="rId187" display="http://www.spec-arm.ru/goods/230265912-manometr_elektrokontaktny_dm2010f_isp_v_0_4_0_mpa_kt_1_5_d100_ip40_m20kh1_5_rsh"/>
    <hyperlink ref="N56" r:id="rId188" display="https://nevinnomisk.specarmatura.ru/catalog/manometry_elektrokontaktnye_fiztekh/manometr_dm2010f_isp_v_0_40_0_atm_ip40_m20kh1_5_rsh/"/>
    <hyperlink ref="AD56" r:id="rId189" display="https://afkmarket.ru/catalog/pribory-ucheta-i-kipia/manometry/29621/"/>
    <hyperlink ref="AG56" r:id="rId190" display="https://tdatm.ru/catalog/kontrolno_izmeritelnye_pribory_kipia/sredstva_izmereniya_davleniya/manometry/manometr_dm2010f_isp_v_0_4_kgs_sm2_kt_1_5_d_100_ip40_m20_1_5_rsh_fl.html"/>
    <hyperlink ref="AJ56" r:id="rId191" display="https://msk.specarmatura.ru/catalog/manometry_elektrokontaktnye_fiztekh/manometr_dm2010f_isp_v_0_4_0_atm_ip40_m20kh1_5_rsh/"/>
    <hyperlink ref="H57" r:id="rId192" display="https://manometry.ru/dm2010f"/>
    <hyperlink ref="K57" r:id="rId193" display="https://tdatm.ru/catalog/kontrolno_izmeritelnye_pribory_kipia/sredstva_izmereniya_davleniya/manometry/manometr_dm2010f_isp_v_0_1_mpa_kt_1_5_d_100_ip40_m20_1_5_rsh.html"/>
    <hyperlink ref="N57" r:id="rId194" display="https://kupi-kip.ru/product/manometry-elektrokontaktnye-fizteh-dm2010f/"/>
    <hyperlink ref="AD57" r:id="rId195" display="https://afkmarket.ru/catalog/pribory-ucheta-i-kipia/manometry/29625/"/>
    <hyperlink ref="AG57" r:id="rId196" display="https://pritok.info/shop/goods/manometr-dm2010f-isp-V-0-40-mpa-rsh--kt15---d100---IP40---M20-15--1098119641?ysclid=lreo52mh8s737141788"/>
    <hyperlink ref="AJ57" r:id="rId197" display="https://msk.specarmatura.ru/catalog/manometry_elektrokontaktnye_fiztekh/manometr_dm2010f_isp_v_0_40_0_atm_ip40_m20kh1_5_rsh/"/>
    <hyperlink ref="H58" r:id="rId198" display="https://nevinnomisk.specarmatura.ru/catalog/manometry_elektrokontaktnye_fiztekh/manometr_dm2010f_isp_v_0_6_0_atm_ip40_m20kh1_5_rsh/"/>
    <hyperlink ref="K58" r:id="rId199" display="https://www.manometer-spb.ru/catalog/manometry/elektrokontaktnye_ekm/6690/"/>
    <hyperlink ref="N58" r:id="rId200" display="https://manometry.ru/dm2010f"/>
    <hyperlink ref="AD58" r:id="rId201" display="https://pritok.info/shop/goods/manometr-dm2010f-isp-V-0-06-mpa-kt15-d100-IP40-M20-15-rsh-1098190449"/>
    <hyperlink ref="AG58" r:id="rId202" display="https://afkmarket.ru/catalog/pribory-ucheta-i-kipia/manometry/29634/"/>
    <hyperlink ref="AJ58" r:id="rId203" display="https://msk.specarmatura.ru/catalog/manometry_elektrokontaktnye_fiztekh/manometr_dm2010f_isp_v_0_6_0_atm_ip40_m20kh1_5_rsh/"/>
    <hyperlink ref="H59" r:id="rId204" display="https://lab-oborudovanie.ru/catalog/manometr-dm2010-isp-5-0-60-mpa/"/>
    <hyperlink ref="K59" r:id="rId205" display="https://www.fiztech.ru/catalog/manometry/693/"/>
    <hyperlink ref="N59" r:id="rId206" display="https://www.manometer-spb.ru/catalog/manometry/elektrokontaktnye_ekm/6690/"/>
    <hyperlink ref="AD59" r:id="rId207" display="https://msk.specarmatura.ru/catalog/manometry_elektrokontaktnye_fiztekh/manometr_dm2010f_isp_v_0_60_0_atm_ip40_m20kh1_5_rsh/"/>
    <hyperlink ref="AG59" r:id="rId208" display="https://afkmarket.ru/catalog/pribory-ucheta-i-kipia/manometry/29637/"/>
    <hyperlink ref="AJ59" r:id="rId209" display="https://lab-oborudovanie.ru/catalog/manometr-dm2010-isp-5-0-6-mpa/"/>
    <hyperlink ref="H60" r:id="rId210" display="https://knopka.org/catalog/kantselyarskie-tovary/pismennie-prinadlejnosti/markery/marker-kraska/marker-kraska_58073.html?ysclid=lnn3h6eba5631905189"/>
    <hyperlink ref="K60" r:id="rId211" display="https://kancnika.ru/catalog/pis-mennye-prinadlezhnosti/markery-flomastery/markery-spetsial-nye/Marker-kraska-BLACK-chernyy-4mm.html?ysclid=lnn3j2e0nt688273093"/>
    <hyperlink ref="AD60" r:id="rId212" display="https://www.officemag.ru/catalog/goods/151481/"/>
    <hyperlink ref="AG60" r:id="rId213" display="https://leroymerlin.ru/product/marker-kraska-munhwa-82386606/?ysclid=lreu2ptily276140315&amp;utm_referrer=https%3A%2F%2Fya.ru%2F"/>
    <hyperlink ref="AJ60" r:id="rId214" display="https://stavropol.kuvalda.ru/catalog/7839/product-116121/?ysclid=lreu99hbxc361246411"/>
    <hyperlink ref="H61" r:id="rId215" display="https://www.vseinstrumenti.ru/product/maslo-compressor-s-synth-100-1-l-gazpromneft-253721871-1175782/otzyvy/"/>
    <hyperlink ref="K61" r:id="rId216" display="https://amertend.ru/gazpromneft-compressor-s-synth-100"/>
    <hyperlink ref="N61" r:id="rId217" display="https://piteroils.ru/catalog/industrialnye_smazochnye_materialy/kompressornye/gazprom_neft_8/26841/"/>
    <hyperlink ref="AD61" r:id="rId218" display="https://megamarket.ru/catalog/details/maslo-kompressornoe-gazpromneft-compressor-s-synth-100-1l-253721871-600005570435/?ysclid=lrey40ntaq13979534"/>
    <hyperlink ref="AG61" r:id="rId219" display="https://www.vseinstrumenti.ru/product/maslo-compressor-s-synth-100-1-l-gazpromneft-253721871-1175782/?ysclid=lrey3ssap859720018"/>
    <hyperlink ref="AJ61" r:id="rId220" display="https://leroymerlin.ru/product/maslo-dlya-kompressora-gazpromneft-compres-s-synth-100-1-l-82680707/?ysclid=lrey1wlua4125993148&amp;utm_referrer=https%3A%2F%2Fya.ru%2F"/>
    <hyperlink ref="H62" r:id="rId221" display="https://www.autoopt.ru/catalog/733654-maslo_kompressornoe_compressor_s_synth_150_205l180kg_gazpromneft"/>
    <hyperlink ref="K62" r:id="rId222" display="https://amertend.ru/gazpromneft-compressor-s-synth-150"/>
    <hyperlink ref="N62" r:id="rId223" display="https://vils.ru/catalog/kompressornye_masla/gazpromneft_compressor_s_synth_150/?offer=41867"/>
    <hyperlink ref="AD62" r:id="rId224" display="https://oil-store.ru/masla-i-smazki/industrialnye-masla/kompressornye-masla/kompressornoe-maslo-gazpromneft-compressor-s-synth-150-205l/"/>
    <hyperlink ref="AG62" r:id="rId225" display="https://market.yandex.ru/product--kompressornoe-maslo-gazpromneft-compressor-s-synth-150-205-l/1928907666?sku=101918768244&amp;do-waremd5=dT5LuY8jISq6tDkeg-YAvQ&amp;uniqueId=14123210"/>
    <hyperlink ref="AJ62" r:id="rId226" display="https://www.autoopt.ru/catalog/733654-maslo_kompressornoe_compressor_s_synth_150_205l180kg_gazpromneft?ysclid=lreykdnxqu664170247"/>
    <hyperlink ref="H63" r:id="rId227" display="https://ru.lukoil-shop.com/catalog/kommercheskiy_transport/motornye_masla/maslo_motornoe_lukoyl_avangard_mineralnoe_15w_40_api_cf_4_sg/"/>
    <hyperlink ref="K63" r:id="rId228" display="https://baza.drom.ru/ekaterinburg/chemistry/motoroil/maslo-motornoe-lukoil-avangard-extra-15w-40-cg-4-e5-mineralnoe-5-l-dlja-kommerch-tehniki-lukoil-1552367-g12763204629.html"/>
    <hyperlink ref="N63" r:id="rId229" display="https://www.arsenal-msk.ru/catalog/dlya-kommercheskogo-transporta/lukoyl-avangard-15w-40/"/>
    <hyperlink ref="AD63" r:id="rId230" display="https://maslenych.ru/shop/avtomasla/motornye_masla/40044/"/>
    <hyperlink ref="AJ63" r:id="rId231" display="https://ru.lukoil-shop.com/catalog/kommercheskiy_transport/motornye_masla/maslo_motornoe_lukoyl_avangard_mineralnoe_15w_40_api_cf_4_sg/?ysclid=lrezh29s5i793370538"/>
    <hyperlink ref="H64" r:id="rId232" display="https://piteroils.ru/catalog/gruzovye_masla/otechestvennye_1/lukoyl_1/polusinteticheskie_18/13191/"/>
    <hyperlink ref="K64" r:id="rId233" display=" https://www.vsemasla.com/lukojl-avangard-ul-tra-10w-40-ci-4-sl/"/>
    <hyperlink ref="N64" r:id="rId234" display="https://hyperauto.ru/product/maslo-motornoe-lukoyl-avantgarde-ultra-10w40-polusinteticheskoe-api-sl-ci-4-acea-e7-jaso-dh-1-dlya-dizelnogo-dvigatelya-5l-art-19518-000017864/"/>
    <hyperlink ref="AG64" r:id="rId235" display="https://oil-store.ru/masla-i-smazki/motornye-masla/gruzovoj-transport/motornoe-maslo-lukojl-avangard-ultra-10w-40-50l/"/>
    <hyperlink ref="AJ64" r:id="rId236" display="https://b2b.lukoil-shop.ru/product/lukoil_avantgarde_ultra_10w_40/"/>
    <hyperlink ref="H65" r:id="rId237" display="https://shop220.ru/kkm11-018-230-01-kontaktor-kmi-11811-18a-230v-as3-1nz-iek.htm"/>
    <hyperlink ref="K65" r:id="rId238" display="https://www.etm.ru/cat/nn/9751780?city=77"/>
    <hyperlink ref="N65" r:id="rId239" display="https://rs24.ru/product/30482"/>
    <hyperlink ref="AG65" r:id="rId240" display="https://www.elektro.ru/product/kontaktor_kmi-11811_18a_400v_as3_1nz_iek/?ysclid=lrfwyyu02871443555"/>
    <hyperlink ref="AJ65" r:id="rId241" display="https://www.chipdip.ru/product0/8000856354"/>
    <hyperlink ref="H66" r:id="rId242" display="https://ledgoods.ru/ehlektrotekhnika/kontaktory/minikontaktory/kontaktor-kmi-22511-25a-230v-as3-1nz-kkm21-025-230-01-iek/"/>
    <hyperlink ref="K66" r:id="rId243" display="https://elevel.ru/shop/nizkovoltnoe-oborudovanie/kontaktory/iek-kontaktor-kmi-22511-25a-230v-as3-1nz/?ysclid=lnn3vbaxbe794611308"/>
    <hyperlink ref="N66" r:id="rId244" display="https://www.elektro.ru/product/kontaktor_kmi-22511_25a_230v_as3_1nz_iek/?ysclid=lnn3vd85mf333358050"/>
    <hyperlink ref="AD66" r:id="rId245" display="https://www.vseinstrumenti.ru/product/kontaktor-iek-kmi-22511-25a-220v-iek-kkm21-025-230-01-1172033/?ysclid=lrfx9rg2sq369511159"/>
    <hyperlink ref="H67" r:id="rId246" display="https://zipzap24.ru/drives-and-timing/remen-ventilyatora-k-kt-2sht-belt-art-2614b655"/>
    <hyperlink ref="K67" r:id="rId247" display="https://www.hited-shop.ru/product/remen-ventilyatora-belt-art2614b655"/>
    <hyperlink ref="N67" r:id="rId248" display="https://dg-trade.ru/catalog/zapchasti-dlya-dvigateley/zapchasti-perkins/remen-sistemy-okhlazhdeniya-perkins-2614b655/"/>
    <hyperlink ref="AD67" r:id="rId249" display="https://impart.online/catalog/2614b655-remen-k-kt-iz-2kh-sht-perkins-lupsls/?ysclid=lrfxr1ngz376048122"/>
    <hyperlink ref="H68" r:id="rId250" display="https://www.autoopt.ru/catalog/911424-remen_privodnoj_klinovoj_13h1075_contitech"/>
    <hyperlink ref="K68" r:id="rId251" location="/basket" display="https://avto-sistem.ru/baskets#/basket"/>
    <hyperlink ref="N68" r:id="rId252" display="https://autocode.ru/price/Contitech/AVX13X1075"/>
    <hyperlink ref="H69" r:id="rId253" display="https://www.tss.ru/catalog/zapchasti/zapasnye_chasti_dlya_dizelnykh_dvigateley/dvigateli_perkins/zapchasti_dlya_perkins_404_d_22g_ad_16_m18/remen_privoda_generatora_998_378_10000_66575_fg_wilson_004160/"/>
    <hyperlink ref="K69" r:id="rId254" display="https://trustenergo.ru/catalog/zapasnye-chasti-dlya-dizelnykh-dvigateley/tss/remen-privoda-generatora-998-378-10000-66575-fg-wilson/"/>
    <hyperlink ref="N69" r:id="rId255" display="https://www.rekon-russia.ru/catalog/detail/remen_privoda_generatora_998_378_10000_66575_fg_wilson/"/>
    <hyperlink ref="AD69" r:id="rId256" display="https://tss52.com/catalog/zapchasti/dlya-dizelnykh-dvigateley/perkins-dizel/perkins-404-d-22g-ad-16-m18/remen-privoda-generatora-998-378-10000-66575-fg-wilson/?ysclid=lrfykes390518290689"/>
    <hyperlink ref="H70" r:id="rId257" display="https://ati-auto.ru/catalog/rubena/88675/"/>
    <hyperlink ref="K70" r:id="rId258" display=" https://gettzap.ru/cart"/>
    <hyperlink ref="N70" r:id="rId259" location="/basket" display="https://jetauto39.ru/baskets#/basket"/>
    <hyperlink ref="H71" r:id="rId260" display="https://motorteile.ru/products/OPTIBELT/AVX13X1325TM.html"/>
    <hyperlink ref="K71" r:id="rId261" display="https://baza.drom.ru/barnaul/sell_spare_parts/remen-grm-contitech-avx13x1325-113231681.html"/>
    <hyperlink ref="N71" r:id="rId262" display="https://euroauto.ru/cart/"/>
    <hyperlink ref="H72" r:id="rId263" display="https://fg-wilson.ru/product/filtr-vozdushnyy-elementair-filter-element-art-10000-51238"/>
    <hyperlink ref="K72" r:id="rId264" display="https://pecmall.ru/products/FG-WILSON/1000051238.html"/>
    <hyperlink ref="N72" r:id="rId265" display="https://zapchasti-generator.ru/catalog/zapchasti_i_raskhodnye_materialy/zapchasti-dlya-dvigateley/filtry_/vozdushnye/filtr_vozdushnyy_fg_willson_perkins_901_048_26510342/?utm_source=yd_context&amp;utm_medium=cpc&amp;utm_campaign=84814378&amp;utm_content=5152750150-13689630524-none-0&amp;utm_term=43773568027--none-goal_0&amp;yclid=15831746511027306495"/>
    <hyperlink ref="H73" r:id="rId266" display="https://fg-wilson.ru/product/filtr-vozdushnyy-901-046-26510362-915-660-art-901-046"/>
    <hyperlink ref="K73" r:id="rId267" display="https://pecmall.ru/products/FG-WILSON/901046.html"/>
    <hyperlink ref="N73" r:id="rId268" display="https://agroserver.ru/b/filtr-vozdushnyy-fg-wilson-901-046-26510362-915-660-1539830.htm"/>
    <hyperlink ref="H74" r:id="rId269" display="https://autopiter.ru/cart"/>
    <hyperlink ref="K74" r:id="rId270" location="/basket" display="https://texnostimul.ru/baskets#/basket"/>
    <hyperlink ref="N74" r:id="rId271" location="/basket" display="https://arkopart.ru/baskets#/basket"/>
    <hyperlink ref="H75" r:id="rId272" display="https://autopiter.ru/goods/af25539/fleetguard/id21461873"/>
    <hyperlink ref="K75" r:id="rId273" display="https://baza.drom.ru/tyumen/sell_spare_parts/filtr-vozdushnyj-mtz-dv-lombardini-fleetguard-fleetguard-art-af25539-g14339684661.html"/>
    <hyperlink ref="N75" r:id="rId274" location="/basket" display="https://gmgauto.ru/baskets#/basket"/>
    <hyperlink ref="H76" r:id="rId275" display="https://www.autoopt.ru/catalog/961833-filtr_masljanyj_caterpillar_fleetguard"/>
    <hyperlink ref="K76" r:id="rId276" display="https://emex.ru/basket"/>
    <hyperlink ref="N76" r:id="rId277" location="/basket" display="https://fetparts.ru/baskets#/basket"/>
    <hyperlink ref="H77" r:id="rId278" display="https://avsila.ru/catalog/masla-avtokosmetika-avtokhimiya/germetiki/germetik-abro-silikonovyy-seryy-85-gr-original-99-ab/"/>
    <hyperlink ref="K77" r:id="rId279" display="https://www.avtoall.ru/germetik_prokladka_seryiy_termostoiykiiy_85g_999_oem__ssha__abro-073340/?withoutSuppliers=1"/>
    <hyperlink ref="N77" r:id="rId280" display="https://www.chipdip.ru/product0/8013231474"/>
    <hyperlink ref="H78" r:id="rId281" display="https://instrument-40.ru/transmissionnoe-maslo-vitex-tad-17-tm-5-18-10-l-v324805"/>
    <hyperlink ref="K78" r:id="rId282" display="https://yunimag.ru/goods/1401431-transmissionnoe-maslo-vitex-tad-17tm-5-18-v324805.html"/>
    <hyperlink ref="N78" r:id="rId283" display="https://novorossiysk.vseinstrumenti.ru/product/transmissionnoe-maslo-vitex-tad-17-tm-5-18-10-l-v324805-1582198/?ysclid=lnn32euvjo575984245"/>
    <hyperlink ref="H79" r:id="rId284" display="https://smetiz.ru/tovary/gajki/gost-5915-70-d4-k5-mstal-pczink-h0-l0-ca2-akrupnyij-srossiya-117397/"/>
    <hyperlink ref="N79" r:id="rId285" display="https://kst21.ru/catalog/gayka_shestigrannaya_gost_5915_5927_din_934/gayka_m_4_otsink_kl_pr_8_0_din_934_gost_5915/"/>
    <hyperlink ref="K80" r:id="rId286" display="https://smetiz.ru/tovary/gajki/gost-5915-70-d5-k5-mstal-pbez-pokryitiya-h0-l0-ca2-akrupnyij-srossiya-121664/"/>
    <hyperlink ref="N80" r:id="rId287" display="https://www.mtk-fortuna.ru/listdiams.aspx?gradeid=1520"/>
    <hyperlink ref="H81" r:id="rId288" display="https://megamarket.ru/catalog/details/germetik-silikonovyy-prozrachnyy-310-g-vysokotemperaturnyy-abro-ss-1200-clr-abro-art-ss-12-100025302233/"/>
    <hyperlink ref="K81" r:id="rId289" display="https://www.chipdip.ru/product0/8022187512"/>
    <hyperlink ref="N81" r:id="rId290" display="https://leroymerlin.ru/product/germetik-silikonovyy-abro-ss-1200-clr1200-prozrachnyy-310-ml-90342403/?utm_referrer=https%3A%2F%2Fyandex.ru%2Fsearch%2F%3Ftext%3D%25D0%25A1%25D0%25B8%25D0%25BB%25D0%25B8%25D0%25BA%25D0%25BE%25D0%25BD%25D0%25BE%25D0%25B2%25D1%258B%25D0%25B9%2B%25D0%25B3%25D0%25B5%25D1%2580%25D0%25BC%25D0%25B5%25D1%2582%25D0%25B8%25D0%25BA%2BABRO%2B%25D0%25BF%25D1%2580%25D0%25BE%25D0%25B7%25D1%2580%25D0%25B0%25D1%2587%25D0%25BD%25D1%258B%25D0%25B9%2B310%2B%25D0%25B3%2BSS-1200-CLR%26clid%3D2714389%26win%3D619%26lr%3D11064"/>
    <hyperlink ref="H82" r:id="rId291" display="https://nevinnomyssk.kupi.ru/product/180-kley-spetsialnyy-moment-stolyar-770835763/"/>
    <hyperlink ref="K82" r:id="rId292" display="https://www.onlinetrade.ru/catalogue/kley-c3491/moment/kley_dlya_dereva_moment_stolyar_422981_250_g-545082.html"/>
    <hyperlink ref="N82" r:id="rId293" display="https://www.etm.ru/cat/nn/9869907"/>
    <hyperlink ref="H83" r:id="rId294" display="https://kraski-dl.ru/product/kraska-nerzhamet-ral-1028-zhyoltaya-dynya-antiko/"/>
    <hyperlink ref="K83" r:id="rId295" display="https://wooood.ru/catalog/emal/kraska_po_metallu_antikorrozionnaya_nerzhamet_10_kg/?oid=7108"/>
    <hyperlink ref="N83" r:id="rId296" display="https://color-servis.ru/catalog/soputstvuyushchie_tovary/anti_koroziynye_kraski/923/"/>
    <hyperlink ref="AG83" r:id="rId297" display="https://spb-orion.ru/product/nerzhamet/?ysclid=lrg7w91j5z245218018"/>
    <hyperlink ref="AJ83" r:id="rId298" display="https://kraski-dl.ru/product/kraska-nerzhamet-ral-1028-zhyoltaya-dynya-antiko/"/>
    <hyperlink ref="H84" r:id="rId299" display="https://kraski-dl.ru/product/kraska-nerzhamet-ral-6020-zelenyj-hrom-antikorrozionnaya-poluglyanczevaya-dlya-metalla-krasko/"/>
    <hyperlink ref="K84" r:id="rId300" display="https://ral.ru.com/catalog/kraski-ral/kraska-po-rzhavchine-ral/grunt-emal-nerzhamet-po-rzhavchine-poluglyantsevaya-3-v-1-8-kg/"/>
    <hyperlink ref="N84" r:id="rId301" display="https://spb-orion.ru/product/nerzhamet/"/>
    <hyperlink ref="AG84" r:id="rId302" display="https://spb-orion.ru/product/nerzhamet/?ysclid=lrg7w91j5z245218018"/>
    <hyperlink ref="AJ84" r:id="rId303" display="https://kraski-dl.ru/product/kraska-nerzhamet-ral-6029-zelenaya-myata-antikorrozionnaya-poluglyanczevaya-dlya-metalla-krasko/"/>
    <hyperlink ref="H85" r:id="rId304" display="https://kraski-dl.ru/product/kraska-nerzhamet-ral-3001-signalnyj-krasnyj/"/>
    <hyperlink ref="K85" r:id="rId305" display="https://market.yandex.ru/catalog--emali/18060863/list?srnum=1&amp;was_redir=1&amp;rt=9&amp;rs=eJwdkD1Iw0AcxRNbm6JLHNRBJIeDg-Li5kchk3PRwfUQZzcddPDUwaKIOAmBQsDB4lAKUgVNNYNCMUovYDeRjG6Ki-Ci997y49279_-4m37Ile3NfLGb9Aa2p6u6mSp9pRs6MmpX6BtzbKQ7umV4fGH3FSvnR45b7x46OATfnYJ7kHYKj7YVPs8aylzJUDyB4de8of8DWqORYTYOHQd0TpCRb3TuQLHFzAi0fGHt6y1uJ-D7y3OoGmMygS-vocM2q04xPRtugQOgXEN_K09dQ63_jqT4gBYb97idZOcpcpF-Aqo6GK9zw1_W7vNdEt2sNuf2Q_sCm1gL6CCH4IhLznW55x9fV-Gth6TY49tXOGUV-Vix8yCYnUWcDq2qyKvPGUxZouOwmwftb_NnIm7SU_oHLUSnnw%2C%2C&amp;text=Нержамет%20красная&amp;hid=91605&amp;allowCollapsing=1&amp;local-offers-first=0&amp;glfilter=13887626%3A13891866"/>
    <hyperlink ref="N85" r:id="rId306" display="https://lkmflot.ru/kraski-i-emali/naruzhnye-i-vnutrennie/krasko/kraska-grunt-dlya-metalla-krasko-nerzhamet/"/>
    <hyperlink ref="AG85" r:id="rId307" display="https://spb-orion.ru/product/nerzhamet/?ysclid=lrg7w91j5z245218018"/>
    <hyperlink ref="AJ85" r:id="rId308" display="https://kraski-dl.ru/product/kraska-nerzhamet-ral-3020-transportnyj-krasn/"/>
    <hyperlink ref="H86" r:id="rId309" display="https://postroyka-nv.ru/catalog/show/Emal_NERZHAMETRAL7040seryj20kg"/>
    <hyperlink ref="K86" r:id="rId310" display="https://market.yandex.ru/product--profi-roof/1824487696/spec?track=char"/>
    <hyperlink ref="N86" r:id="rId311" display="https://ekb.pulscen.ru/products/grunt_emal_nerzhamet_49323632"/>
    <hyperlink ref="AG86" r:id="rId312" display="https://spb-orion.ru/product/nerzhamet/?ysclid=lrg7w91j5z245218018"/>
    <hyperlink ref="H87" r:id="rId313" display="https://color1.ru/alkidnaya-antikorrozionnaya-grunt-emal-indosingl-tsvet-ral-7032-1kg"/>
    <hyperlink ref="K87" r:id="rId314" display="https://profkolor.ru/goods/Kod-po-katalogu-RAL7032-2K-antikorrozijnaya-akrilovaya-grunt-jemal-Naimenovanie-kraski-Kieselgrau-Seraya-galka"/>
    <hyperlink ref="N87" r:id="rId315" display="https://leroymerlin-jeb.ru/tovary/stroitelstvo-i-remont/materialy/alkidnaya-antikorrozionnaya-grunt-emal-indosingl-cvet-ral-7034-1kg"/>
    <hyperlink ref="AD87" r:id="rId316" display="https://kraski-dl.ru/product/kraska-nerzhamet-ral-7032-seraya-galka-antikorrozionnaya-poluglyanczevaya-dlya-metalla-krasko/"/>
    <hyperlink ref="H88" r:id="rId317" display="https://www.bafus.ru/200716029/"/>
    <hyperlink ref="K88" r:id="rId318" display="https://kraski-dl.ru/product/kraska-nerzhamet-ral-9017-chyornyj-transportny/"/>
    <hyperlink ref="N88" r:id="rId319" display="https://postroyka-nv.ru/catalog/show/Emal_NERZHAMETRAL7040seryj20kg"/>
    <hyperlink ref="H89" r:id="rId320" display="https://electrovent.ru/elektrotehnicheskie-tovary/lampy/energosberegayuschie-lampy/energosberegayuschaya-lampa-philips-softone-esaver-11w-827-e27-230-240v-t60/"/>
    <hyperlink ref="K89" r:id="rId321" display="https://ledgoods.ru/osveshchenie/lamps/lampy-ehnergosberegayushchie-kll/lampa-lyuminescentnaya-kll-genie-es-11w-ww-e27-220-240v-1pf-6-871150080119710-ph80119710-philips/"/>
    <hyperlink ref="N89" r:id="rId322" display="https://www.smartlamps.ru/products/softone-esaver-11w-827-e27-230-240v-t60-d60x114-philips-lampa"/>
    <hyperlink ref="H90" r:id="rId323" display="https://www.chipdip.ru/product0/8173557661?ysclid=lnnduye3ft880435890"/>
    <hyperlink ref="K90" r:id="rId324" display="https://rs24.ru/product/165966"/>
    <hyperlink ref="N90" r:id="rId325" display="https://www.etm.ru/cat/nn/1811446?ysclid=lnndurbfbl890260666&amp;city=77"/>
    <hyperlink ref="H91" r:id="rId326" display="https://www.etm.ru/cat/nn/9053610?city=77"/>
    <hyperlink ref="K91" r:id="rId327" display="https://electro-materiali.ru/catalog/lampy-istochniki-sveta/lampy-luminestsentnye/lampy-kompaktnye-lyuministsentnye-i-lyuministsentnye-uniel/102649/"/>
    <hyperlink ref="N91" r:id="rId328" display="https://elkon.su/lampa-energosberegayushchaya-kll-45-842-e27-d64x157-spiral-kosmos/"/>
    <hyperlink ref="H92" r:id="rId329" display="https://nevinnomissk.promportal.su/goods/37468248/labomid-203.htm"/>
    <hyperlink ref="K92" r:id="rId330" display="https://fedexpert.ru/catalog/khimiya/moyushchie_sredstva/tekhnicheskie_moyushchie_sredstva/8594/"/>
    <hyperlink ref="N92" r:id="rId331" display="https://www.eko-tec.ru/product/5166279/"/>
    <hyperlink ref="H93" r:id="rId332" display="https://stavropol.pulscen.ru/products/labomid_203_fasovka_35_kg_59604586"/>
    <hyperlink ref="K93" r:id="rId333" display="https://www.aquateka.ru/?cat=products&amp;prod=tehnicheskoe-moyushee-sredstvo-labomid-203-40-kg-650040"/>
    <hyperlink ref="N93" r:id="rId334" display="https://www.td-polimer54.ru/goods/84558460-labomid_203"/>
    <hyperlink ref="H94" r:id="rId335" display="https://www.vseinstrumenti.ru/product/lampa-gauss-led-elementary-a60-15w-e27-1480lm-6500k-23235-942504/"/>
    <hyperlink ref="K94" r:id="rId336" display="https://www.etm.ru/cat/nn/8532745"/>
    <hyperlink ref="N94" r:id="rId337" display="https://leroymerlin.ru/product/lampa-svetodiodnaya-osram-grusha-15vt-1521lm-e27-holodnyy-belyy-svet-85099643/"/>
    <hyperlink ref="H95" r:id="rId338" display="https://krasnodar.specstali.ru/product/folga-latunnaja-dlja-pajki-l63-0-05-mm-gost-2208-2007-listovaja/"/>
    <hyperlink ref="K95" r:id="rId339" display="https://metall-77.ru/folga-latunnaya"/>
    <hyperlink ref="N95" r:id="rId340" display="https://snabservis.ru/catalog/latunnaya-folga/"/>
    <hyperlink ref="H96" r:id="rId341" display="https://www.vseinstrumenti.ru/product/montazhnyj-klej-ceresit-cb-10-1864068-3014720/"/>
    <hyperlink ref="K96" r:id="rId342" display="https://ts-krovizol.ru/catalog/product/akrilovyy-montazhnyy-kley-ceresit-cb-10-400-gr/"/>
    <hyperlink ref="N96" r:id="rId343" display="https://www.stroyshopper.ru/product/klej_montazhnyj_akrilovyj_ceresit_cb_10/"/>
    <hyperlink ref="H97" r:id="rId344" display="https://www.mirkrasok.ru/product/ceresit_cn_178_tserezit_smes_legko_vyravnivayushchayasya/sku_184941/"/>
    <hyperlink ref="K97" r:id="rId345" display="https://profiplitka.ru/product/ceresit-cn-76-vysokoprochnaja-samovyravnivajuschajasja-tsementnaja-smes-ot-4-do-15-50-mm-25-kg/"/>
    <hyperlink ref="N97" r:id="rId346" display="https://ts-krovizol.ru/catalog/product/samovyravnivayushchayasya-tsementnaya-smes-ceresit-cn-76-25-kg/?utm_source=stroyportal&amp;utm_medium=tag&amp;utm_campaign=moskva&amp;utm_term=1584431348722160720&amp;utm_content=24525&amp;strprtl=8fec4d06960f903a983c8359bb307ba9"/>
    <hyperlink ref="H98" r:id="rId347" display="https://www.mirkrasok.ru/product/ceresit_cs_24_premium_universal_tserezit_germetik_silikonovyy_universalnyy/"/>
    <hyperlink ref="K98" r:id="rId348" display="https://www.kraski-market.ru/catalog/germetiki_i_montazhnaya_pena/silikonovye_germetiki/"/>
    <hyperlink ref="N98" r:id="rId349" display="ceresit_cs_24_premium_universal_germetik_universalnyy_silikonovyy_prozrachnyy_280ml"/>
    <hyperlink ref="AD98" r:id="rId350" display="https://www.vseinstrumenti.ru/product/universalnyj-germetik-ceresit-cs-24-prozrachnyj-2005218-2392744/?ysclid=lrggpjlsko620944375"/>
    <hyperlink ref="H99" r:id="rId351" display="https://ceresit-russia.ru/ceresit-ct29-fasovka-25-kg/"/>
    <hyperlink ref="K99" r:id="rId352" display="https://rdstroy.ru/catalog/shpatlevki_tsementnye/ct_225_25_shpatlyevka_fasad_finish_belaya_48_sht_pod_ceresit/"/>
    <hyperlink ref="N99" r:id="rId353" display="https://alea.shop/shpaklevka-cementnaya-belaya-ceresit-st-225-25-kg/"/>
    <hyperlink ref="H100" r:id="rId354" display="https://rdstroy.ru/catalog/shtukaturki_tsementnye/ct_29_25_shtukat_i_remont_shpatlyevka_25_kg_48sht_pod_ceresit/"/>
    <hyperlink ref="K100" r:id="rId355" display="https://ru-ceresit.com/ceresit-ct-29-2/"/>
    <hyperlink ref="N100" r:id="rId356" display="https://rdstroy.ru/catalog/shtukaturki_tsementnye/ct_29_25_shtukat_i_remont_shpatlyevka_25_kg_48sht_pod_ceresit/"/>
    <hyperlink ref="H101" r:id="rId357" display="https://ceresit-market.ru/catalog/klei-dlya-plitki/cm-14-extra-kley-d-plitki/"/>
    <hyperlink ref="K101" r:id="rId358" display="https://www.mirkrasok.ru/product/ceresit_cm_14_extra_tserezit_kley_dlya_plitki_i_keramogranita/"/>
    <hyperlink ref="N101" r:id="rId359" display="https://profiplitka.ru/product/ceresit-sm-14-extra-25-kg/"/>
    <hyperlink ref="AD101" r:id="rId360" display="https://stavropol.leroymerlin.ru/product/kley-dlya-plitki-i-keramogranita-cerezit-cm-14-extra-25-kg-82040394/?ysclid=lrghtm2zpp77919402&amp;fromRegion=34"/>
    <hyperlink ref="H102" r:id="rId361" display="https://kraskivmoskve.ru/product/ceresit-ts-62tserezit-ts-62-universalnaya-montazhnaya-pena"/>
    <hyperlink ref="K102" r:id="rId362" display="https://ceresitshop.ru/catalog/penyi-germetiki-klei/penyi/ceresit-ts-62"/>
    <hyperlink ref="N102" r:id="rId363" display="https://www-fasad.ru/pena-montazhnaya-ceresit-ts-62-universalnaya-750-ml/"/>
    <hyperlink ref="H103" r:id="rId364" display="https://moscow.petrovich.ru/product/102860/?ysclid=lnn6bm9c4n822490262"/>
    <hyperlink ref="K103" r:id="rId365" display="https://www.termokit.ru/product/zatirka_ceresit_se_40_2_aquastatic_vodoottalkivayushchaya_belaya_01_2_kg.htm"/>
    <hyperlink ref="N103" r:id="rId366" display="https://www.kraski.ru/catalog/ceresit_se_40_aquastatic_tserezit_tse_40_akvasatik_zatirka_dlya_shvov_do_10_mm_vodoottalkivayushchaya/?ysclid=lnn6bk9zgx457384661"/>
    <hyperlink ref="H104" r:id="rId367" display="https://avtomaster66.ru/catalog/grunty_1/grunt_emal_mister_hammer_hardmax_korroed_ral_5015_goluboy_po_rzhavchine_1l_0_9kg_kvil_/"/>
    <hyperlink ref="K104" r:id="rId368" display="https://www.chipdip.ru/product0/8008857921"/>
    <hyperlink ref="N104" r:id="rId369" location="searchQuery=Грунт-эмаль+по+ржавчине+HardMax+Корроед+RAL+5015+голубой&amp;searchType=srp" display="https://novorossiysk.vseinstrumenti.ru/product/grunt-emal-po-rzhavchine-hardmax-korroed-ral-5015-goluboj-banka-0-9-kg-1-sht-4690417077977-1853240/#searchQuery=Грунт-эмаль+по+ржавчине+HardMax+Корроед+RAL+5015+голубой&amp;searchType=srp"/>
    <hyperlink ref="H105" r:id="rId370" display="https://uni-fitt.shop/collection/baki-membannye/baki-rasshiritelnye-reflex/8210500.html?ysclid=lnn1xbpop1865454036"/>
    <hyperlink ref="K105" r:id="rId371" display="https://teplo-com.ru/catalog/179460/"/>
    <hyperlink ref="N105" r:id="rId372" display="https://www.teremonline.ru/catalog/inzhenernaya-santekhnika/membrannye-baki/3524_dlya-sistem-otopleniya/reflex-membrannyy-bak-s-100/?ysclid=lnn1x7fqoo281338246"/>
    <hyperlink ref="AD105" r:id="rId373" display="https://reflex.sale/katalog/membrannye-baki-dlia-sistem-otopleniia/s-50-250/bak-membrannij-reflex-s-100-10bar120c-serij-art-8210500"/>
    <hyperlink ref="H106" r:id="rId374" display="https://zamkitut.ru/catalog/zamki/navesnye-zamki/chaz/navesnoy-zamok-chaz-vs2a/"/>
    <hyperlink ref="K106" r:id="rId375" display="https://vertical.ru/product/navesnoy-zamok-chaz-vs2a/"/>
    <hyperlink ref="N106" r:id="rId376" display="https://zamki34.ru/collection/zamki-navesnye-trosovye/product/zamok-navesnoy-chaz-vs2a-5665"/>
    <hyperlink ref="H107" r:id="rId377" display="https://megamarket.ru/catalog/details/kraska-vgt-akrilovaya-vd-ak-1180-fasadnaya-superbelaya-vlagostoykaya-matovaya-bescvetnyy-13-kg-100051813645/?utm_source=yandex&amp;utm_medium=cpc&amp;utm_campaign=smm_search_dsa%3A4_stroitelstvo_i_remont_cb_%5Bregions%5D_%7C86121008%7C&amp;utm_term=3771611.13887207686.&amp;utm_content=5171123321.premium.1.16262686.none.11064.Невинномысск&amp;adjust_ya_click_id=1828704582133088255&amp;adjust_campaign=smm_search_dsa%3A4_stroitelstvo_i_remont_cb_%5Bregions%5D&amp;adjust_tracker=4a3jxi1_j6n0ehs&amp;yclid=1828704582133088255"/>
    <hyperlink ref="K107" r:id="rId378" display="https://nevinnomyssk.kupi.ru/product/180-kraska-fasadnaya-vdak-brigada-753362282/"/>
    <hyperlink ref="N107" r:id="rId379" display="https://radugakraski.ru/katalog/kraski/dlya-mineralnyh-fasadov/vdak-1180z/?oid=19643"/>
    <hyperlink ref="H108" r:id="rId380" display="https://oknabm.ru/catalog/accessories/steklopaket/odnokamernye-steklopakety/1k-steklopaket-4-16-4/"/>
    <hyperlink ref="K108" r:id="rId381" display="https://www.relit.ru/price-replace-window.htm"/>
    <hyperlink ref="N108" r:id="rId382" display="https://www.eurookna.ru/steklopakety/tsena-za-m2/"/>
    <hyperlink ref="H109" r:id="rId383" display="https://new.optorg.ru/catalog/stroitelnye_i_otdelochnye_materialy/suhie_stroitelnye_smesi/shpatlevka/270086/"/>
    <hyperlink ref="K109" r:id="rId384" display="https://nvs-stroy.ru/catalogue/11102/6440/?ysclid=lnn04m2n59102945093"/>
    <hyperlink ref="N109" r:id="rId385" display="https://gorodmasterov23.ru/shop/stroitelnye-i-otdelochnye-materialy/suhie-smesi/shpatlevki/abs-saten-inter-shpatlevka-5-0-kg/?ysclid=lnn07ta0q9177616528"/>
    <hyperlink ref="H110" r:id="rId386" display="https://new.optorg.ru/catalog/instrument_i_oborudovanie/elektrosvarochnoe_oborudovanie/elektrody/242388/"/>
    <hyperlink ref="K110" r:id="rId387" display="https://www.svarcka.ru/svarochnye-materialy/elektrody-dlya-svarki/3-1-381-detail.html"/>
    <hyperlink ref="N110" r:id="rId388" display="https://krasnodar.vseinstrumenti.ru/product/elektrody-svarochnye-ano-21-1-kg-3-mm-tigarbo-te-213010009-1933705/?ysclid=lnmzpk2gss399476481"/>
    <hyperlink ref="H111" r:id="rId389" display="https://www.keram-market.ru/rossiyskaya-plitka/kerama-marazzi/spetsii/imbir-bezh-sp901800n"/>
    <hyperlink ref="K111" r:id="rId390" display="https://www.bestceramic.ru/goods/imbir-sp901800n"/>
    <hyperlink ref="N111" r:id="rId391" display="https://spb.keram-market.ru/rossiyskaya-plitka/kerama-marazzi/spetsii/imbir-bezh-sp901800n"/>
  </hyperlinks>
  <printOptions headings="false" gridLines="false" gridLinesSet="true" horizontalCentered="false" verticalCentered="false"/>
  <pageMargins left="0.25" right="0.25" top="0.75" bottom="0.75" header="0.511811023622047" footer="0.511811023622047"/>
  <pageSetup paperSize="9" scale="35" fitToWidth="1" fitToHeight="1" pageOrder="downThenOver" orientation="landscape" blackAndWhite="false" draft="false" cellComments="none" horizontalDpi="300" verticalDpi="300" copies="1"/>
  <headerFooter differentFirst="false" differentOddEven="false">
    <oddHeader/>
    <oddFooter/>
  </headerFooter>
  <drawing r:id="rId392"/>
  <legacyDrawing r:id="rId39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3"/>
  <sheetViews>
    <sheetView showFormulas="false" showGridLines="true" showRowColHeaders="true" showZeros="true" rightToLeft="false" tabSelected="false" showOutlineSymbols="true" defaultGridColor="true" view="pageBreakPreview" topLeftCell="A2" colorId="64" zoomScale="75" zoomScaleNormal="100" zoomScalePageLayoutView="75" workbookViewId="0">
      <pane xSplit="0" ySplit="1" topLeftCell="A3" activePane="bottomLeft" state="frozen"/>
      <selection pane="topLeft" activeCell="A2" activeCellId="0" sqref="A2"/>
      <selection pane="bottomLeft" activeCell="D7" activeCellId="0" sqref="D7"/>
    </sheetView>
  </sheetViews>
  <sheetFormatPr defaultColWidth="8.8046875" defaultRowHeight="12.8" zeroHeight="false" outlineLevelRow="0" outlineLevelCol="0"/>
  <cols>
    <col collapsed="false" customWidth="true" hidden="false" outlineLevel="0" max="1" min="1" style="1" width="5.95"/>
    <col collapsed="false" customWidth="true" hidden="false" outlineLevel="0" max="2" min="2" style="1" width="33.37"/>
    <col collapsed="false" customWidth="true" hidden="false" outlineLevel="0" max="3" min="3" style="1" width="28.09"/>
    <col collapsed="false" customWidth="true" hidden="false" outlineLevel="0" max="4" min="4" style="1" width="43.09"/>
    <col collapsed="false" customWidth="true" hidden="false" outlineLevel="0" max="5" min="5" style="1" width="6.09"/>
    <col collapsed="false" customWidth="true" hidden="false" outlineLevel="0" max="6" min="6" style="1" width="5.66"/>
    <col collapsed="false" customWidth="true" hidden="false" outlineLevel="0" max="7" min="7" style="1" width="20.09"/>
    <col collapsed="false" customWidth="true" hidden="false" outlineLevel="0" max="8" min="8" style="1" width="18.66"/>
  </cols>
  <sheetData>
    <row r="1" customFormat="false" ht="26.25" hidden="false" customHeight="true" outlineLevel="0" collapsed="false">
      <c r="A1" s="232"/>
      <c r="D1" s="232"/>
      <c r="E1" s="232"/>
      <c r="F1" s="232"/>
      <c r="G1" s="232"/>
      <c r="H1" s="232"/>
    </row>
    <row r="2" customFormat="false" ht="68.25" hidden="false" customHeight="true" outlineLevel="0" collapsed="false">
      <c r="A2" s="233"/>
      <c r="B2" s="234"/>
      <c r="C2" s="234"/>
      <c r="D2" s="235" t="s">
        <v>1162</v>
      </c>
      <c r="E2" s="236" t="s">
        <v>1163</v>
      </c>
      <c r="F2" s="236" t="s">
        <v>1164</v>
      </c>
      <c r="G2" s="236" t="s">
        <v>1163</v>
      </c>
      <c r="H2" s="237" t="s">
        <v>1164</v>
      </c>
      <c r="J2" s="1" t="n">
        <v>1.21</v>
      </c>
    </row>
    <row r="3" customFormat="false" ht="49.5" hidden="false" customHeight="true" outlineLevel="0" collapsed="false">
      <c r="A3" s="232" t="n">
        <v>1</v>
      </c>
      <c r="B3" s="238" t="s">
        <v>1165</v>
      </c>
      <c r="C3" s="239" t="s">
        <v>1166</v>
      </c>
      <c r="D3" s="240" t="n">
        <v>7.2</v>
      </c>
      <c r="E3" s="241" t="n">
        <v>233.33</v>
      </c>
      <c r="F3" s="242" t="n">
        <f aca="false">E3*D3</f>
        <v>1679.98</v>
      </c>
      <c r="G3" s="243" t="n">
        <f aca="false">E3*J3</f>
        <v>282.33</v>
      </c>
      <c r="H3" s="243" t="n">
        <f aca="false">G3*D3</f>
        <v>2032.78</v>
      </c>
      <c r="J3" s="1" t="n">
        <v>1.21</v>
      </c>
    </row>
    <row r="4" customFormat="false" ht="42" hidden="false" customHeight="true" outlineLevel="0" collapsed="false">
      <c r="A4" s="232" t="n">
        <v>2</v>
      </c>
      <c r="B4" s="57" t="s">
        <v>1167</v>
      </c>
      <c r="C4" s="125" t="s">
        <v>1166</v>
      </c>
      <c r="D4" s="227" t="n">
        <v>6.4</v>
      </c>
      <c r="E4" s="241" t="n">
        <v>757.66</v>
      </c>
      <c r="F4" s="242" t="n">
        <f aca="false">E4*D4</f>
        <v>4849.02</v>
      </c>
      <c r="G4" s="243" t="n">
        <f aca="false">E4*J3</f>
        <v>916.77</v>
      </c>
      <c r="H4" s="243" t="n">
        <f aca="false">G4*D4</f>
        <v>5867.33</v>
      </c>
    </row>
    <row r="5" customFormat="false" ht="36.75" hidden="false" customHeight="true" outlineLevel="0" collapsed="false">
      <c r="A5" s="232" t="n">
        <v>3</v>
      </c>
      <c r="B5" s="57" t="s">
        <v>1168</v>
      </c>
      <c r="C5" s="125" t="s">
        <v>1169</v>
      </c>
      <c r="D5" s="227" t="n">
        <v>0.06</v>
      </c>
      <c r="E5" s="241" t="n">
        <v>72640</v>
      </c>
      <c r="F5" s="242" t="n">
        <f aca="false">E5*D5</f>
        <v>4358.4</v>
      </c>
      <c r="G5" s="243" t="n">
        <f aca="false">E5*J3</f>
        <v>87894.4</v>
      </c>
      <c r="H5" s="243" t="n">
        <f aca="false">G5*D5</f>
        <v>5273.66</v>
      </c>
    </row>
    <row r="6" customFormat="false" ht="36.75" hidden="false" customHeight="true" outlineLevel="0" collapsed="false">
      <c r="A6" s="232" t="n">
        <v>4</v>
      </c>
      <c r="B6" s="57" t="s">
        <v>1170</v>
      </c>
      <c r="C6" s="125" t="s">
        <v>27</v>
      </c>
      <c r="D6" s="227" t="n">
        <v>0.4</v>
      </c>
      <c r="E6" s="241" t="n">
        <v>101.38</v>
      </c>
      <c r="F6" s="242" t="n">
        <f aca="false">E6*D6</f>
        <v>40.55</v>
      </c>
      <c r="G6" s="243" t="n">
        <f aca="false">E6*J2</f>
        <v>122.67</v>
      </c>
      <c r="H6" s="243" t="n">
        <f aca="false">G6*D6</f>
        <v>49.07</v>
      </c>
    </row>
    <row r="7" customFormat="false" ht="43.5" hidden="false" customHeight="true" outlineLevel="0" collapsed="false">
      <c r="A7" s="232" t="n">
        <v>5</v>
      </c>
      <c r="B7" s="206" t="s">
        <v>1171</v>
      </c>
      <c r="C7" s="207" t="s">
        <v>27</v>
      </c>
      <c r="D7" s="244" t="n">
        <v>0.4</v>
      </c>
      <c r="E7" s="241" t="n">
        <v>203</v>
      </c>
      <c r="F7" s="242" t="n">
        <f aca="false">E7*D7</f>
        <v>81.2</v>
      </c>
      <c r="G7" s="243" t="n">
        <f aca="false">E7*J2</f>
        <v>245.63</v>
      </c>
      <c r="H7" s="243" t="n">
        <f aca="false">G7*D7</f>
        <v>98.25</v>
      </c>
    </row>
    <row r="8" customFormat="false" ht="48.75" hidden="false" customHeight="true" outlineLevel="0" collapsed="false">
      <c r="A8" s="232" t="n">
        <v>6</v>
      </c>
      <c r="B8" s="206" t="s">
        <v>1172</v>
      </c>
      <c r="C8" s="207" t="s">
        <v>27</v>
      </c>
      <c r="D8" s="244" t="n">
        <v>1.6</v>
      </c>
      <c r="E8" s="241" t="n">
        <v>435</v>
      </c>
      <c r="F8" s="242" t="n">
        <f aca="false">E8*D8</f>
        <v>696</v>
      </c>
      <c r="G8" s="243" t="n">
        <f aca="false">E8*J2</f>
        <v>526.35</v>
      </c>
      <c r="H8" s="243" t="n">
        <f aca="false">G8*D8</f>
        <v>842.16</v>
      </c>
    </row>
    <row r="9" customFormat="false" ht="63.75" hidden="false" customHeight="true" outlineLevel="0" collapsed="false">
      <c r="A9" s="232" t="n">
        <v>7</v>
      </c>
      <c r="B9" s="57" t="s">
        <v>1173</v>
      </c>
      <c r="C9" s="125" t="s">
        <v>1169</v>
      </c>
      <c r="D9" s="227" t="n">
        <v>0.02</v>
      </c>
      <c r="E9" s="241" t="n">
        <v>169720</v>
      </c>
      <c r="F9" s="242" t="n">
        <f aca="false">E9*D9</f>
        <v>3394.4</v>
      </c>
      <c r="G9" s="243" t="n">
        <f aca="false">E9*J2</f>
        <v>205361.2</v>
      </c>
      <c r="H9" s="243" t="n">
        <f aca="false">G9*D9</f>
        <v>4107.22</v>
      </c>
    </row>
    <row r="10" customFormat="false" ht="45.75" hidden="false" customHeight="true" outlineLevel="0" collapsed="false">
      <c r="A10" s="232" t="n">
        <v>8</v>
      </c>
      <c r="B10" s="57" t="s">
        <v>1174</v>
      </c>
      <c r="C10" s="125" t="s">
        <v>27</v>
      </c>
      <c r="D10" s="227" t="n">
        <v>26</v>
      </c>
      <c r="E10" s="241" t="n">
        <v>210</v>
      </c>
      <c r="F10" s="242" t="n">
        <f aca="false">E10*D10</f>
        <v>5460</v>
      </c>
      <c r="G10" s="243" t="n">
        <f aca="false">E10*J2</f>
        <v>254.1</v>
      </c>
      <c r="H10" s="243" t="n">
        <f aca="false">G10*D10</f>
        <v>6606.6</v>
      </c>
    </row>
    <row r="11" customFormat="false" ht="47.25" hidden="false" customHeight="true" outlineLevel="0" collapsed="false">
      <c r="A11" s="232" t="n">
        <v>9</v>
      </c>
      <c r="B11" s="206" t="s">
        <v>1175</v>
      </c>
      <c r="C11" s="207" t="s">
        <v>675</v>
      </c>
      <c r="D11" s="244" t="n">
        <v>6</v>
      </c>
      <c r="E11" s="241" t="n">
        <v>130</v>
      </c>
      <c r="F11" s="242" t="n">
        <f aca="false">E11*D11</f>
        <v>780</v>
      </c>
      <c r="G11" s="243" t="n">
        <f aca="false">E11*J2</f>
        <v>157.3</v>
      </c>
      <c r="H11" s="243" t="n">
        <f aca="false">G11*D11</f>
        <v>943.8</v>
      </c>
    </row>
    <row r="12" customFormat="false" ht="47.25" hidden="false" customHeight="true" outlineLevel="0" collapsed="false">
      <c r="A12" s="232" t="n">
        <v>10</v>
      </c>
      <c r="B12" s="206" t="s">
        <v>1176</v>
      </c>
      <c r="C12" s="207" t="s">
        <v>64</v>
      </c>
      <c r="D12" s="244" t="n">
        <v>1.4</v>
      </c>
      <c r="E12" s="241" t="n">
        <v>2820.53</v>
      </c>
      <c r="F12" s="242" t="n">
        <f aca="false">E12*D12</f>
        <v>3948.74</v>
      </c>
      <c r="G12" s="243" t="n">
        <f aca="false">E12*J2</f>
        <v>3412.84</v>
      </c>
      <c r="H12" s="243" t="n">
        <f aca="false">G12*D12</f>
        <v>4777.98</v>
      </c>
    </row>
    <row r="13" customFormat="false" ht="72.75" hidden="false" customHeight="true" outlineLevel="0" collapsed="false">
      <c r="A13" s="232"/>
      <c r="D13" s="232"/>
      <c r="E13" s="232"/>
      <c r="F13" s="245" t="n">
        <f aca="false">SUM(F3:F12)</f>
        <v>25288.29</v>
      </c>
      <c r="G13" s="243"/>
      <c r="H13" s="246" t="n">
        <f aca="false">SUM(H3:H12)</f>
        <v>30598.85</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3"/>
  <sheetViews>
    <sheetView showFormulas="false" showGridLines="true" showRowColHeaders="true" showZeros="true" rightToLeft="false" tabSelected="false" showOutlineSymbols="true" defaultGridColor="true" view="pageBreakPreview" topLeftCell="A2" colorId="64" zoomScale="75" zoomScaleNormal="100" zoomScalePageLayoutView="75" workbookViewId="0">
      <pane xSplit="0" ySplit="1" topLeftCell="A3" activePane="bottomLeft" state="frozen"/>
      <selection pane="topLeft" activeCell="A2" activeCellId="0" sqref="A2"/>
      <selection pane="bottomLeft" activeCell="D7" activeCellId="0" sqref="D7"/>
    </sheetView>
  </sheetViews>
  <sheetFormatPr defaultColWidth="8.8046875" defaultRowHeight="12.8" zeroHeight="false" outlineLevelRow="0" outlineLevelCol="0"/>
  <cols>
    <col collapsed="false" customWidth="true" hidden="false" outlineLevel="0" max="1" min="1" style="1" width="5.95"/>
    <col collapsed="false" customWidth="true" hidden="false" outlineLevel="0" max="2" min="2" style="1" width="33.37"/>
    <col collapsed="false" customWidth="true" hidden="false" outlineLevel="0" max="3" min="3" style="1" width="28.09"/>
    <col collapsed="false" customWidth="true" hidden="false" outlineLevel="0" max="4" min="4" style="1" width="43.09"/>
    <col collapsed="false" customWidth="true" hidden="false" outlineLevel="0" max="5" min="5" style="1" width="4.23"/>
    <col collapsed="false" customWidth="true" hidden="false" outlineLevel="0" max="6" min="6" style="1" width="4.66"/>
    <col collapsed="false" customWidth="true" hidden="false" outlineLevel="0" max="7" min="7" style="1" width="20.09"/>
    <col collapsed="false" customWidth="true" hidden="false" outlineLevel="0" max="8" min="8" style="1" width="18.66"/>
  </cols>
  <sheetData>
    <row r="1" customFormat="false" ht="26.25" hidden="false" customHeight="true" outlineLevel="0" collapsed="false">
      <c r="A1" s="232"/>
      <c r="D1" s="232"/>
      <c r="E1" s="232"/>
      <c r="F1" s="232"/>
      <c r="G1" s="232"/>
      <c r="H1" s="232"/>
    </row>
    <row r="2" customFormat="false" ht="68.25" hidden="false" customHeight="true" outlineLevel="0" collapsed="false">
      <c r="A2" s="233"/>
      <c r="B2" s="234"/>
      <c r="C2" s="234"/>
      <c r="D2" s="235" t="s">
        <v>1162</v>
      </c>
      <c r="E2" s="236" t="s">
        <v>1163</v>
      </c>
      <c r="F2" s="236" t="s">
        <v>1164</v>
      </c>
      <c r="G2" s="236" t="s">
        <v>1163</v>
      </c>
      <c r="H2" s="237" t="s">
        <v>1164</v>
      </c>
      <c r="J2" s="1" t="n">
        <v>1.225</v>
      </c>
    </row>
    <row r="3" customFormat="false" ht="28.5" hidden="false" customHeight="true" outlineLevel="0" collapsed="false">
      <c r="A3" s="232" t="n">
        <v>1</v>
      </c>
      <c r="B3" s="238" t="s">
        <v>1165</v>
      </c>
      <c r="C3" s="239" t="s">
        <v>1166</v>
      </c>
      <c r="D3" s="240" t="n">
        <v>7.2</v>
      </c>
      <c r="E3" s="241" t="n">
        <v>233.33</v>
      </c>
      <c r="F3" s="242" t="n">
        <f aca="false">E3*D3</f>
        <v>1679.98</v>
      </c>
      <c r="G3" s="243" t="n">
        <f aca="false">E3*J2</f>
        <v>285.83</v>
      </c>
      <c r="H3" s="243" t="n">
        <f aca="false">G3*D3</f>
        <v>2057.98</v>
      </c>
      <c r="J3" s="1" t="n">
        <v>1.225</v>
      </c>
    </row>
    <row r="4" customFormat="false" ht="45" hidden="false" customHeight="true" outlineLevel="0" collapsed="false">
      <c r="A4" s="232" t="n">
        <v>2</v>
      </c>
      <c r="B4" s="57" t="s">
        <v>1167</v>
      </c>
      <c r="C4" s="125" t="s">
        <v>1166</v>
      </c>
      <c r="D4" s="227" t="n">
        <v>6.4</v>
      </c>
      <c r="E4" s="241" t="n">
        <v>757.66</v>
      </c>
      <c r="F4" s="242" t="n">
        <f aca="false">E4*D4</f>
        <v>4849.02</v>
      </c>
      <c r="G4" s="243" t="n">
        <f aca="false">E4*J3</f>
        <v>928.13</v>
      </c>
      <c r="H4" s="243" t="n">
        <f aca="false">G4*D4</f>
        <v>5940.03</v>
      </c>
    </row>
    <row r="5" customFormat="false" ht="38.25" hidden="false" customHeight="true" outlineLevel="0" collapsed="false">
      <c r="A5" s="232" t="n">
        <v>3</v>
      </c>
      <c r="B5" s="57" t="s">
        <v>1168</v>
      </c>
      <c r="C5" s="125" t="s">
        <v>1169</v>
      </c>
      <c r="D5" s="227" t="n">
        <v>0.06</v>
      </c>
      <c r="E5" s="241" t="n">
        <v>72640</v>
      </c>
      <c r="F5" s="242" t="n">
        <f aca="false">E5*D5</f>
        <v>4358.4</v>
      </c>
      <c r="G5" s="243" t="n">
        <f aca="false">E5*J3</f>
        <v>88984</v>
      </c>
      <c r="H5" s="243" t="n">
        <f aca="false">G5*D5</f>
        <v>5339.04</v>
      </c>
    </row>
    <row r="6" customFormat="false" ht="42" hidden="false" customHeight="true" outlineLevel="0" collapsed="false">
      <c r="A6" s="232" t="n">
        <v>4</v>
      </c>
      <c r="B6" s="57" t="s">
        <v>1170</v>
      </c>
      <c r="C6" s="125" t="s">
        <v>27</v>
      </c>
      <c r="D6" s="227" t="n">
        <v>0.4</v>
      </c>
      <c r="E6" s="241" t="n">
        <v>101.38</v>
      </c>
      <c r="F6" s="242" t="n">
        <f aca="false">E6*D6</f>
        <v>40.55</v>
      </c>
      <c r="G6" s="243" t="n">
        <f aca="false">E6*J2</f>
        <v>124.19</v>
      </c>
      <c r="H6" s="243" t="n">
        <f aca="false">G6*D6</f>
        <v>49.68</v>
      </c>
    </row>
    <row r="7" customFormat="false" ht="47.25" hidden="false" customHeight="true" outlineLevel="0" collapsed="false">
      <c r="A7" s="232" t="n">
        <v>5</v>
      </c>
      <c r="B7" s="206" t="s">
        <v>1171</v>
      </c>
      <c r="C7" s="207" t="s">
        <v>27</v>
      </c>
      <c r="D7" s="244" t="n">
        <v>0.4</v>
      </c>
      <c r="E7" s="241" t="n">
        <v>203</v>
      </c>
      <c r="F7" s="242" t="n">
        <f aca="false">E7*D7</f>
        <v>81.2</v>
      </c>
      <c r="G7" s="243" t="n">
        <f aca="false">E7*J2</f>
        <v>248.68</v>
      </c>
      <c r="H7" s="243" t="n">
        <f aca="false">G7*D7</f>
        <v>99.47</v>
      </c>
    </row>
    <row r="8" customFormat="false" ht="46.5" hidden="false" customHeight="true" outlineLevel="0" collapsed="false">
      <c r="A8" s="232" t="n">
        <v>6</v>
      </c>
      <c r="B8" s="206" t="s">
        <v>1172</v>
      </c>
      <c r="C8" s="207" t="s">
        <v>27</v>
      </c>
      <c r="D8" s="244" t="n">
        <v>1.6</v>
      </c>
      <c r="E8" s="241" t="n">
        <v>435</v>
      </c>
      <c r="F8" s="242" t="n">
        <f aca="false">E8*D8</f>
        <v>696</v>
      </c>
      <c r="G8" s="243" t="n">
        <f aca="false">E8*J2</f>
        <v>532.88</v>
      </c>
      <c r="H8" s="243" t="n">
        <f aca="false">G8*D8</f>
        <v>852.61</v>
      </c>
    </row>
    <row r="9" customFormat="false" ht="44.25" hidden="false" customHeight="true" outlineLevel="0" collapsed="false">
      <c r="A9" s="232" t="n">
        <v>7</v>
      </c>
      <c r="B9" s="57" t="s">
        <v>1173</v>
      </c>
      <c r="C9" s="125" t="s">
        <v>1169</v>
      </c>
      <c r="D9" s="227" t="n">
        <v>0.02</v>
      </c>
      <c r="E9" s="241" t="n">
        <v>169720</v>
      </c>
      <c r="F9" s="242" t="n">
        <f aca="false">E9*D9</f>
        <v>3394.4</v>
      </c>
      <c r="G9" s="243" t="n">
        <f aca="false">E9*J2</f>
        <v>207907</v>
      </c>
      <c r="H9" s="243" t="n">
        <f aca="false">G9*D9</f>
        <v>4158.14</v>
      </c>
    </row>
    <row r="10" customFormat="false" ht="40.5" hidden="false" customHeight="true" outlineLevel="0" collapsed="false">
      <c r="A10" s="232" t="n">
        <v>8</v>
      </c>
      <c r="B10" s="57" t="s">
        <v>1174</v>
      </c>
      <c r="C10" s="125" t="s">
        <v>27</v>
      </c>
      <c r="D10" s="227" t="n">
        <v>26</v>
      </c>
      <c r="E10" s="241" t="n">
        <v>210</v>
      </c>
      <c r="F10" s="242" t="n">
        <f aca="false">E10*D10</f>
        <v>5460</v>
      </c>
      <c r="G10" s="243" t="n">
        <f aca="false">E10*J2</f>
        <v>257.25</v>
      </c>
      <c r="H10" s="243" t="n">
        <f aca="false">G10*D10</f>
        <v>6688.5</v>
      </c>
    </row>
    <row r="11" customFormat="false" ht="43.5" hidden="false" customHeight="true" outlineLevel="0" collapsed="false">
      <c r="A11" s="232" t="n">
        <v>9</v>
      </c>
      <c r="B11" s="206" t="s">
        <v>1175</v>
      </c>
      <c r="C11" s="207" t="s">
        <v>675</v>
      </c>
      <c r="D11" s="244" t="n">
        <v>6</v>
      </c>
      <c r="E11" s="241" t="n">
        <v>130</v>
      </c>
      <c r="F11" s="242" t="n">
        <f aca="false">E11*D11</f>
        <v>780</v>
      </c>
      <c r="G11" s="243" t="n">
        <f aca="false">E11*J2</f>
        <v>159.25</v>
      </c>
      <c r="H11" s="243" t="n">
        <f aca="false">G11*D11</f>
        <v>955.5</v>
      </c>
    </row>
    <row r="12" customFormat="false" ht="48" hidden="false" customHeight="true" outlineLevel="0" collapsed="false">
      <c r="A12" s="232" t="n">
        <v>10</v>
      </c>
      <c r="B12" s="206" t="s">
        <v>1176</v>
      </c>
      <c r="C12" s="207" t="s">
        <v>64</v>
      </c>
      <c r="D12" s="244" t="n">
        <v>1.4</v>
      </c>
      <c r="E12" s="241" t="n">
        <v>2820.53</v>
      </c>
      <c r="F12" s="242" t="n">
        <f aca="false">E12*D12</f>
        <v>3948.74</v>
      </c>
      <c r="G12" s="243" t="n">
        <f aca="false">E12*J2</f>
        <v>3455.15</v>
      </c>
      <c r="H12" s="243" t="n">
        <f aca="false">G12*D12</f>
        <v>4837.21</v>
      </c>
    </row>
    <row r="13" customFormat="false" ht="72.75" hidden="false" customHeight="true" outlineLevel="0" collapsed="false">
      <c r="A13" s="232"/>
      <c r="D13" s="232"/>
      <c r="E13" s="232"/>
      <c r="F13" s="245" t="n">
        <f aca="false">SUM(F3:F12)</f>
        <v>25288.29</v>
      </c>
      <c r="G13" s="243"/>
      <c r="H13" s="246" t="n">
        <f aca="false">SUM(H3:H12)</f>
        <v>30978.16</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3"/>
  <sheetViews>
    <sheetView showFormulas="false" showGridLines="true" showRowColHeaders="true" showZeros="true" rightToLeft="false" tabSelected="false" showOutlineSymbols="true" defaultGridColor="true" view="pageBreakPreview" topLeftCell="A2" colorId="64" zoomScale="75" zoomScaleNormal="100" zoomScalePageLayoutView="75" workbookViewId="0">
      <pane xSplit="0" ySplit="1" topLeftCell="A6" activePane="bottomLeft" state="frozen"/>
      <selection pane="topLeft" activeCell="A2" activeCellId="0" sqref="A2"/>
      <selection pane="bottomLeft" activeCell="D7" activeCellId="0" sqref="D7"/>
    </sheetView>
  </sheetViews>
  <sheetFormatPr defaultColWidth="8.8046875" defaultRowHeight="12.8" zeroHeight="false" outlineLevelRow="0" outlineLevelCol="0"/>
  <cols>
    <col collapsed="false" customWidth="true" hidden="false" outlineLevel="0" max="1" min="1" style="1" width="5.95"/>
    <col collapsed="false" customWidth="true" hidden="false" outlineLevel="0" max="2" min="2" style="1" width="33.37"/>
    <col collapsed="false" customWidth="true" hidden="false" outlineLevel="0" max="3" min="3" style="1" width="28.09"/>
    <col collapsed="false" customWidth="true" hidden="false" outlineLevel="0" max="4" min="4" style="1" width="43.09"/>
    <col collapsed="false" customWidth="true" hidden="false" outlineLevel="0" max="5" min="5" style="1" width="4.8"/>
    <col collapsed="false" customWidth="true" hidden="false" outlineLevel="0" max="6" min="6" style="1" width="5.52"/>
    <col collapsed="false" customWidth="true" hidden="false" outlineLevel="0" max="7" min="7" style="1" width="20.09"/>
    <col collapsed="false" customWidth="true" hidden="false" outlineLevel="0" max="8" min="8" style="1" width="18.66"/>
  </cols>
  <sheetData>
    <row r="1" customFormat="false" ht="26.25" hidden="false" customHeight="true" outlineLevel="0" collapsed="false">
      <c r="A1" s="232"/>
      <c r="D1" s="232"/>
      <c r="E1" s="232"/>
      <c r="F1" s="232"/>
      <c r="G1" s="232"/>
      <c r="H1" s="232"/>
    </row>
    <row r="2" customFormat="false" ht="68.25" hidden="false" customHeight="true" outlineLevel="0" collapsed="false">
      <c r="A2" s="233"/>
      <c r="B2" s="234"/>
      <c r="C2" s="234"/>
      <c r="D2" s="235" t="s">
        <v>1162</v>
      </c>
      <c r="E2" s="236" t="s">
        <v>1163</v>
      </c>
      <c r="F2" s="236" t="s">
        <v>1164</v>
      </c>
      <c r="G2" s="236" t="s">
        <v>1163</v>
      </c>
      <c r="H2" s="237" t="s">
        <v>1164</v>
      </c>
      <c r="J2" s="1" t="n">
        <v>1.247</v>
      </c>
    </row>
    <row r="3" customFormat="false" ht="55.5" hidden="false" customHeight="true" outlineLevel="0" collapsed="false">
      <c r="A3" s="232" t="n">
        <v>1</v>
      </c>
      <c r="B3" s="238" t="s">
        <v>1165</v>
      </c>
      <c r="C3" s="239" t="s">
        <v>1166</v>
      </c>
      <c r="D3" s="240" t="n">
        <v>7.2</v>
      </c>
      <c r="E3" s="241" t="n">
        <v>233.33</v>
      </c>
      <c r="F3" s="242" t="n">
        <f aca="false">E3*D3</f>
        <v>1679.98</v>
      </c>
      <c r="G3" s="243" t="n">
        <f aca="false">E3*J3</f>
        <v>290.96</v>
      </c>
      <c r="H3" s="243" t="n">
        <f aca="false">G3*D3</f>
        <v>2094.91</v>
      </c>
      <c r="J3" s="1" t="n">
        <v>1.247</v>
      </c>
    </row>
    <row r="4" customFormat="false" ht="43.5" hidden="false" customHeight="true" outlineLevel="0" collapsed="false">
      <c r="A4" s="232" t="n">
        <v>2</v>
      </c>
      <c r="B4" s="57" t="s">
        <v>1167</v>
      </c>
      <c r="C4" s="125" t="s">
        <v>1166</v>
      </c>
      <c r="D4" s="227" t="n">
        <v>6.4</v>
      </c>
      <c r="E4" s="241" t="n">
        <v>757.66</v>
      </c>
      <c r="F4" s="242" t="n">
        <f aca="false">E4*D4</f>
        <v>4849.02</v>
      </c>
      <c r="G4" s="243" t="n">
        <f aca="false">E4*J3</f>
        <v>944.8</v>
      </c>
      <c r="H4" s="243" t="n">
        <f aca="false">G4*D4</f>
        <v>6046.72</v>
      </c>
    </row>
    <row r="5" customFormat="false" ht="45.75" hidden="false" customHeight="true" outlineLevel="0" collapsed="false">
      <c r="A5" s="232" t="n">
        <v>3</v>
      </c>
      <c r="B5" s="57" t="s">
        <v>1168</v>
      </c>
      <c r="C5" s="125" t="s">
        <v>1169</v>
      </c>
      <c r="D5" s="227" t="n">
        <v>0.06</v>
      </c>
      <c r="E5" s="241" t="n">
        <v>72640</v>
      </c>
      <c r="F5" s="242" t="n">
        <f aca="false">E5*D5</f>
        <v>4358.4</v>
      </c>
      <c r="G5" s="243" t="n">
        <f aca="false">E5*J3</f>
        <v>90582.08</v>
      </c>
      <c r="H5" s="243" t="n">
        <f aca="false">G5*D5</f>
        <v>5434.92</v>
      </c>
    </row>
    <row r="6" customFormat="false" ht="48" hidden="false" customHeight="true" outlineLevel="0" collapsed="false">
      <c r="A6" s="232" t="n">
        <v>4</v>
      </c>
      <c r="B6" s="57" t="s">
        <v>1170</v>
      </c>
      <c r="C6" s="125" t="s">
        <v>27</v>
      </c>
      <c r="D6" s="227" t="n">
        <v>0.4</v>
      </c>
      <c r="E6" s="241" t="n">
        <v>101.38</v>
      </c>
      <c r="F6" s="242" t="n">
        <f aca="false">E6*D6</f>
        <v>40.55</v>
      </c>
      <c r="G6" s="243" t="n">
        <f aca="false">E6*J2</f>
        <v>126.42</v>
      </c>
      <c r="H6" s="243" t="n">
        <f aca="false">G6*D6</f>
        <v>50.57</v>
      </c>
    </row>
    <row r="7" customFormat="false" ht="51.75" hidden="false" customHeight="true" outlineLevel="0" collapsed="false">
      <c r="A7" s="232" t="n">
        <v>5</v>
      </c>
      <c r="B7" s="206" t="s">
        <v>1171</v>
      </c>
      <c r="C7" s="207" t="s">
        <v>27</v>
      </c>
      <c r="D7" s="244" t="n">
        <v>0.4</v>
      </c>
      <c r="E7" s="241" t="n">
        <v>203</v>
      </c>
      <c r="F7" s="242" t="n">
        <f aca="false">E7*D7</f>
        <v>81.2</v>
      </c>
      <c r="G7" s="243" t="n">
        <f aca="false">E7*J2</f>
        <v>253.14</v>
      </c>
      <c r="H7" s="243" t="n">
        <f aca="false">G7*D7</f>
        <v>101.26</v>
      </c>
    </row>
    <row r="8" customFormat="false" ht="57" hidden="false" customHeight="true" outlineLevel="0" collapsed="false">
      <c r="A8" s="232" t="n">
        <v>6</v>
      </c>
      <c r="B8" s="206" t="s">
        <v>1172</v>
      </c>
      <c r="C8" s="207" t="s">
        <v>27</v>
      </c>
      <c r="D8" s="244" t="n">
        <v>1.6</v>
      </c>
      <c r="E8" s="241" t="n">
        <v>435</v>
      </c>
      <c r="F8" s="242" t="n">
        <f aca="false">E8*D8</f>
        <v>696</v>
      </c>
      <c r="G8" s="243" t="n">
        <f aca="false">E8*J2</f>
        <v>542.45</v>
      </c>
      <c r="H8" s="243" t="n">
        <f aca="false">G8*D8</f>
        <v>867.92</v>
      </c>
    </row>
    <row r="9" customFormat="false" ht="48.75" hidden="false" customHeight="true" outlineLevel="0" collapsed="false">
      <c r="A9" s="232" t="n">
        <v>7</v>
      </c>
      <c r="B9" s="57" t="s">
        <v>1173</v>
      </c>
      <c r="C9" s="125" t="s">
        <v>1169</v>
      </c>
      <c r="D9" s="227" t="n">
        <v>0.02</v>
      </c>
      <c r="E9" s="241" t="n">
        <v>169720</v>
      </c>
      <c r="F9" s="242" t="n">
        <f aca="false">E9*D9</f>
        <v>3394.4</v>
      </c>
      <c r="G9" s="243" t="n">
        <f aca="false">E9*J2</f>
        <v>211640.84</v>
      </c>
      <c r="H9" s="243" t="n">
        <f aca="false">G9*D9</f>
        <v>4232.82</v>
      </c>
    </row>
    <row r="10" customFormat="false" ht="46.5" hidden="false" customHeight="true" outlineLevel="0" collapsed="false">
      <c r="A10" s="232" t="n">
        <v>8</v>
      </c>
      <c r="B10" s="57" t="s">
        <v>1174</v>
      </c>
      <c r="C10" s="125" t="s">
        <v>27</v>
      </c>
      <c r="D10" s="227" t="n">
        <v>26</v>
      </c>
      <c r="E10" s="241" t="n">
        <v>210</v>
      </c>
      <c r="F10" s="242" t="n">
        <f aca="false">E10*D10</f>
        <v>5460</v>
      </c>
      <c r="G10" s="243" t="n">
        <f aca="false">E10*J2</f>
        <v>261.87</v>
      </c>
      <c r="H10" s="243" t="n">
        <f aca="false">G10*D10</f>
        <v>6808.62</v>
      </c>
    </row>
    <row r="11" customFormat="false" ht="48.75" hidden="false" customHeight="true" outlineLevel="0" collapsed="false">
      <c r="A11" s="232" t="n">
        <v>9</v>
      </c>
      <c r="B11" s="206" t="s">
        <v>1175</v>
      </c>
      <c r="C11" s="207" t="s">
        <v>675</v>
      </c>
      <c r="D11" s="244" t="n">
        <v>6</v>
      </c>
      <c r="E11" s="241" t="n">
        <v>130</v>
      </c>
      <c r="F11" s="242" t="n">
        <f aca="false">E11*D11</f>
        <v>780</v>
      </c>
      <c r="G11" s="243" t="n">
        <f aca="false">E11*J2</f>
        <v>162.11</v>
      </c>
      <c r="H11" s="243" t="n">
        <f aca="false">G11*D11</f>
        <v>972.66</v>
      </c>
    </row>
    <row r="12" customFormat="false" ht="57" hidden="false" customHeight="true" outlineLevel="0" collapsed="false">
      <c r="A12" s="232" t="n">
        <v>10</v>
      </c>
      <c r="B12" s="206" t="s">
        <v>1176</v>
      </c>
      <c r="C12" s="207" t="s">
        <v>64</v>
      </c>
      <c r="D12" s="244" t="n">
        <v>1.4</v>
      </c>
      <c r="E12" s="241" t="n">
        <v>2820.53</v>
      </c>
      <c r="F12" s="242" t="n">
        <f aca="false">E12*D12</f>
        <v>3948.74</v>
      </c>
      <c r="G12" s="243" t="n">
        <f aca="false">E12*J2</f>
        <v>3517.2</v>
      </c>
      <c r="H12" s="243" t="n">
        <f aca="false">G12*D12</f>
        <v>4924.08</v>
      </c>
    </row>
    <row r="13" customFormat="false" ht="72.75" hidden="false" customHeight="true" outlineLevel="0" collapsed="false">
      <c r="A13" s="232"/>
      <c r="D13" s="232"/>
      <c r="E13" s="232"/>
      <c r="F13" s="245" t="n">
        <f aca="false">SUM(F3:F12)</f>
        <v>25288.29</v>
      </c>
      <c r="G13" s="247"/>
      <c r="H13" s="245" t="n">
        <f aca="false">SUM(H3:H12)</f>
        <v>31534.48</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4704</TotalTime>
  <Application>AlterOffice/2026.2.0.0$Linux_X86_64 LibreOffice_project/bc4ef1adf80b36c7a6365f8ed6cbf29021361edd</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creator>Парфенова Евгения Ильинична</dc:creator>
  <dc:description/>
  <dc:language>ru-RU</dc:language>
  <cp:lastModifiedBy>ryabukhakp@corp.gidroogk.com</cp:lastModifiedBy>
  <cp:lastPrinted>2024-02-22T08:42:03Z</cp:lastPrinted>
  <dcterms:modified xsi:type="dcterms:W3CDTF">2026-10-07T11:06:45Z</dcterms:modified>
  <cp:revision>229</cp:revision>
  <dc:subject/>
  <dc:title/>
</cp:coreProperties>
</file>

<file path=docProps/custom.xml><?xml version="1.0" encoding="utf-8"?>
<Properties xmlns="http://schemas.openxmlformats.org/officeDocument/2006/custom-properties" xmlns:vt="http://schemas.openxmlformats.org/officeDocument/2006/docPropsVTypes"/>
</file>