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ia\wd\ДЗ\УПРАВЛЕНИЕ СМЕТНОГО ПЛАНИРОВАНИЯ\ДагГЭС\2026\1-ТПИР-ПИР-2025 (разработка РД)\МОНИТОРИНГ\ОРЦП Ирг и Гоцатл\ОРЦП Ирг и Гоцатл\Системы\"/>
    </mc:Choice>
  </mc:AlternateContent>
  <bookViews>
    <workbookView xWindow="0" yWindow="0" windowWidth="16380" windowHeight="8190" tabRatio="500"/>
  </bookViews>
  <sheets>
    <sheet name="Расчет ПЦ" sheetId="1" r:id="rId1"/>
    <sheet name="Лист1" sheetId="2" r:id="rId2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V310" i="1" l="1"/>
  <c r="W310" i="1" s="1"/>
  <c r="P310" i="1"/>
  <c r="Q310" i="1" s="1"/>
  <c r="N310" i="1"/>
  <c r="Z310" i="1" s="1"/>
  <c r="K310" i="1"/>
  <c r="J310" i="1"/>
  <c r="Z309" i="1"/>
  <c r="X309" i="1"/>
  <c r="V309" i="1"/>
  <c r="W309" i="1" s="1"/>
  <c r="Q309" i="1"/>
  <c r="P309" i="1"/>
  <c r="N309" i="1"/>
  <c r="J309" i="1"/>
  <c r="K309" i="1" s="1"/>
  <c r="AB308" i="1"/>
  <c r="Z308" i="1"/>
  <c r="AA308" i="1" s="1"/>
  <c r="X308" i="1"/>
  <c r="W308" i="1"/>
  <c r="V308" i="1"/>
  <c r="N308" i="1"/>
  <c r="P308" i="1" s="1"/>
  <c r="Q308" i="1" s="1"/>
  <c r="K308" i="1"/>
  <c r="J308" i="1"/>
  <c r="AB307" i="1"/>
  <c r="Z307" i="1"/>
  <c r="AA307" i="1" s="1"/>
  <c r="W307" i="1"/>
  <c r="V307" i="1"/>
  <c r="N307" i="1"/>
  <c r="X307" i="1" s="1"/>
  <c r="K307" i="1"/>
  <c r="J307" i="1"/>
  <c r="V306" i="1"/>
  <c r="W306" i="1" s="1"/>
  <c r="Q306" i="1"/>
  <c r="P306" i="1"/>
  <c r="N306" i="1"/>
  <c r="J306" i="1"/>
  <c r="K306" i="1" s="1"/>
  <c r="X305" i="1"/>
  <c r="V305" i="1"/>
  <c r="W305" i="1" s="1"/>
  <c r="P305" i="1"/>
  <c r="Q305" i="1" s="1"/>
  <c r="N305" i="1"/>
  <c r="Z305" i="1" s="1"/>
  <c r="K305" i="1"/>
  <c r="J305" i="1"/>
  <c r="Z304" i="1"/>
  <c r="X304" i="1"/>
  <c r="V304" i="1"/>
  <c r="W304" i="1" s="1"/>
  <c r="Q304" i="1"/>
  <c r="P304" i="1"/>
  <c r="N304" i="1"/>
  <c r="K304" i="1"/>
  <c r="J304" i="1"/>
  <c r="Z303" i="1"/>
  <c r="X303" i="1"/>
  <c r="W303" i="1"/>
  <c r="V303" i="1"/>
  <c r="P303" i="1"/>
  <c r="Q303" i="1" s="1"/>
  <c r="J303" i="1"/>
  <c r="K303" i="1" s="1"/>
  <c r="W302" i="1"/>
  <c r="V302" i="1"/>
  <c r="N302" i="1"/>
  <c r="K302" i="1"/>
  <c r="J302" i="1"/>
  <c r="AB301" i="1"/>
  <c r="AA301" i="1"/>
  <c r="Z301" i="1"/>
  <c r="X301" i="1"/>
  <c r="W301" i="1"/>
  <c r="V301" i="1"/>
  <c r="P301" i="1"/>
  <c r="Q301" i="1" s="1"/>
  <c r="K301" i="1"/>
  <c r="J301" i="1"/>
  <c r="AB300" i="1"/>
  <c r="Z300" i="1"/>
  <c r="X300" i="1"/>
  <c r="AA300" i="1" s="1"/>
  <c r="V300" i="1"/>
  <c r="W300" i="1" s="1"/>
  <c r="P300" i="1"/>
  <c r="Q300" i="1" s="1"/>
  <c r="K300" i="1"/>
  <c r="J300" i="1"/>
  <c r="AB299" i="1"/>
  <c r="Z299" i="1"/>
  <c r="X299" i="1"/>
  <c r="AA299" i="1" s="1"/>
  <c r="V299" i="1"/>
  <c r="W299" i="1" s="1"/>
  <c r="Q299" i="1"/>
  <c r="P299" i="1"/>
  <c r="K299" i="1"/>
  <c r="J299" i="1"/>
  <c r="Z298" i="1"/>
  <c r="X298" i="1"/>
  <c r="V298" i="1"/>
  <c r="W298" i="1" s="1"/>
  <c r="P298" i="1"/>
  <c r="Q298" i="1" s="1"/>
  <c r="K298" i="1"/>
  <c r="J298" i="1"/>
  <c r="Z297" i="1"/>
  <c r="X297" i="1"/>
  <c r="V297" i="1"/>
  <c r="W297" i="1" s="1"/>
  <c r="P297" i="1"/>
  <c r="Q297" i="1" s="1"/>
  <c r="K297" i="1"/>
  <c r="J297" i="1"/>
  <c r="Z296" i="1"/>
  <c r="X296" i="1"/>
  <c r="W296" i="1"/>
  <c r="V296" i="1"/>
  <c r="Q296" i="1"/>
  <c r="P296" i="1"/>
  <c r="J296" i="1"/>
  <c r="K296" i="1" s="1"/>
  <c r="Z295" i="1"/>
  <c r="X295" i="1"/>
  <c r="AB295" i="1" s="1"/>
  <c r="W295" i="1"/>
  <c r="V295" i="1"/>
  <c r="Q295" i="1"/>
  <c r="P295" i="1"/>
  <c r="K295" i="1"/>
  <c r="J295" i="1"/>
  <c r="AB294" i="1"/>
  <c r="Z294" i="1"/>
  <c r="X294" i="1"/>
  <c r="AA294" i="1" s="1"/>
  <c r="W294" i="1"/>
  <c r="V294" i="1"/>
  <c r="P294" i="1"/>
  <c r="Q294" i="1" s="1"/>
  <c r="J294" i="1"/>
  <c r="K294" i="1" s="1"/>
  <c r="Z293" i="1"/>
  <c r="X293" i="1"/>
  <c r="AB293" i="1" s="1"/>
  <c r="W293" i="1"/>
  <c r="V293" i="1"/>
  <c r="Q293" i="1"/>
  <c r="K293" i="1"/>
  <c r="AB292" i="1"/>
  <c r="Z292" i="1"/>
  <c r="X292" i="1"/>
  <c r="W292" i="1"/>
  <c r="V292" i="1"/>
  <c r="Q292" i="1"/>
  <c r="K292" i="1"/>
  <c r="Z291" i="1"/>
  <c r="X291" i="1"/>
  <c r="AB291" i="1" s="1"/>
  <c r="W291" i="1"/>
  <c r="V291" i="1"/>
  <c r="Q291" i="1"/>
  <c r="K291" i="1"/>
  <c r="Z290" i="1"/>
  <c r="X290" i="1"/>
  <c r="AB290" i="1" s="1"/>
  <c r="V290" i="1"/>
  <c r="W290" i="1" s="1"/>
  <c r="Q290" i="1"/>
  <c r="K290" i="1"/>
  <c r="Z289" i="1"/>
  <c r="X289" i="1"/>
  <c r="W289" i="1"/>
  <c r="V289" i="1"/>
  <c r="Q289" i="1"/>
  <c r="K289" i="1"/>
  <c r="Z288" i="1"/>
  <c r="X288" i="1"/>
  <c r="V288" i="1"/>
  <c r="W288" i="1" s="1"/>
  <c r="Q288" i="1"/>
  <c r="K288" i="1"/>
  <c r="Z287" i="1"/>
  <c r="X287" i="1"/>
  <c r="AB287" i="1" s="1"/>
  <c r="W287" i="1"/>
  <c r="V287" i="1"/>
  <c r="Q287" i="1"/>
  <c r="K287" i="1"/>
  <c r="AB286" i="1"/>
  <c r="Z286" i="1"/>
  <c r="X286" i="1"/>
  <c r="AA286" i="1" s="1"/>
  <c r="V286" i="1"/>
  <c r="W286" i="1" s="1"/>
  <c r="Q286" i="1"/>
  <c r="K286" i="1"/>
  <c r="AB285" i="1"/>
  <c r="AA285" i="1"/>
  <c r="Z285" i="1"/>
  <c r="X285" i="1"/>
  <c r="W285" i="1"/>
  <c r="V285" i="1"/>
  <c r="Q285" i="1"/>
  <c r="K285" i="1"/>
  <c r="AB284" i="1"/>
  <c r="AA284" i="1"/>
  <c r="Z284" i="1"/>
  <c r="X284" i="1"/>
  <c r="V284" i="1"/>
  <c r="W284" i="1" s="1"/>
  <c r="Q284" i="1"/>
  <c r="K284" i="1"/>
  <c r="Z283" i="1"/>
  <c r="X283" i="1"/>
  <c r="W283" i="1"/>
  <c r="V283" i="1"/>
  <c r="Q283" i="1"/>
  <c r="K283" i="1"/>
  <c r="Z282" i="1"/>
  <c r="X282" i="1"/>
  <c r="AB282" i="1" s="1"/>
  <c r="W282" i="1"/>
  <c r="V282" i="1"/>
  <c r="Q282" i="1"/>
  <c r="K282" i="1"/>
  <c r="AB281" i="1"/>
  <c r="AA281" i="1"/>
  <c r="Z281" i="1"/>
  <c r="X281" i="1"/>
  <c r="W281" i="1"/>
  <c r="V281" i="1"/>
  <c r="Q281" i="1"/>
  <c r="K281" i="1"/>
  <c r="AA280" i="1"/>
  <c r="Z280" i="1"/>
  <c r="X280" i="1"/>
  <c r="AB280" i="1" s="1"/>
  <c r="W280" i="1"/>
  <c r="V280" i="1"/>
  <c r="Q280" i="1"/>
  <c r="K280" i="1"/>
  <c r="Z279" i="1"/>
  <c r="X279" i="1"/>
  <c r="V279" i="1"/>
  <c r="W279" i="1" s="1"/>
  <c r="Q279" i="1"/>
  <c r="K279" i="1"/>
  <c r="Z278" i="1"/>
  <c r="X278" i="1"/>
  <c r="V278" i="1"/>
  <c r="W278" i="1" s="1"/>
  <c r="Q278" i="1"/>
  <c r="K278" i="1"/>
  <c r="AB277" i="1"/>
  <c r="Z277" i="1"/>
  <c r="X277" i="1"/>
  <c r="AA277" i="1" s="1"/>
  <c r="W277" i="1"/>
  <c r="V277" i="1"/>
  <c r="Q277" i="1"/>
  <c r="K277" i="1"/>
  <c r="AB276" i="1"/>
  <c r="Z276" i="1"/>
  <c r="X276" i="1"/>
  <c r="AA276" i="1" s="1"/>
  <c r="V276" i="1"/>
  <c r="W276" i="1" s="1"/>
  <c r="Q276" i="1"/>
  <c r="K276" i="1"/>
  <c r="AB275" i="1"/>
  <c r="AA275" i="1"/>
  <c r="Z275" i="1"/>
  <c r="X275" i="1"/>
  <c r="W275" i="1"/>
  <c r="V275" i="1"/>
  <c r="Q275" i="1"/>
  <c r="K275" i="1"/>
  <c r="AB274" i="1"/>
  <c r="Z274" i="1"/>
  <c r="AA274" i="1" s="1"/>
  <c r="X274" i="1"/>
  <c r="V274" i="1"/>
  <c r="W274" i="1" s="1"/>
  <c r="Q274" i="1"/>
  <c r="K274" i="1"/>
  <c r="AB273" i="1"/>
  <c r="AA273" i="1"/>
  <c r="Z273" i="1"/>
  <c r="X273" i="1"/>
  <c r="W273" i="1"/>
  <c r="V273" i="1"/>
  <c r="Q273" i="1"/>
  <c r="K273" i="1"/>
  <c r="AB272" i="1"/>
  <c r="Z272" i="1"/>
  <c r="AA272" i="1" s="1"/>
  <c r="X272" i="1"/>
  <c r="W272" i="1"/>
  <c r="V272" i="1"/>
  <c r="Q272" i="1"/>
  <c r="K272" i="1"/>
  <c r="Z271" i="1"/>
  <c r="X271" i="1"/>
  <c r="AB271" i="1" s="1"/>
  <c r="W271" i="1"/>
  <c r="V271" i="1"/>
  <c r="Q271" i="1"/>
  <c r="K271" i="1"/>
  <c r="Z270" i="1"/>
  <c r="X270" i="1"/>
  <c r="AB270" i="1" s="1"/>
  <c r="W270" i="1"/>
  <c r="V270" i="1"/>
  <c r="Q270" i="1"/>
  <c r="K270" i="1"/>
  <c r="Z269" i="1"/>
  <c r="X269" i="1"/>
  <c r="W269" i="1"/>
  <c r="V269" i="1"/>
  <c r="Q269" i="1"/>
  <c r="K269" i="1"/>
  <c r="Z268" i="1"/>
  <c r="X268" i="1"/>
  <c r="V268" i="1"/>
  <c r="W268" i="1" s="1"/>
  <c r="Q268" i="1"/>
  <c r="K268" i="1"/>
  <c r="AB267" i="1"/>
  <c r="Z267" i="1"/>
  <c r="X267" i="1"/>
  <c r="AA267" i="1" s="1"/>
  <c r="V267" i="1"/>
  <c r="W267" i="1" s="1"/>
  <c r="Q267" i="1"/>
  <c r="K267" i="1"/>
  <c r="AB266" i="1"/>
  <c r="Z266" i="1"/>
  <c r="X266" i="1"/>
  <c r="AA266" i="1" s="1"/>
  <c r="V266" i="1"/>
  <c r="W266" i="1" s="1"/>
  <c r="Q266" i="1"/>
  <c r="K266" i="1"/>
  <c r="AB265" i="1"/>
  <c r="AA265" i="1"/>
  <c r="Z265" i="1"/>
  <c r="X265" i="1"/>
  <c r="W265" i="1"/>
  <c r="V265" i="1"/>
  <c r="Q265" i="1"/>
  <c r="K265" i="1"/>
  <c r="A265" i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B264" i="1"/>
  <c r="AA264" i="1"/>
  <c r="Z264" i="1"/>
  <c r="X264" i="1"/>
  <c r="V264" i="1"/>
  <c r="W264" i="1" s="1"/>
  <c r="Q264" i="1"/>
  <c r="K264" i="1"/>
  <c r="A264" i="1"/>
  <c r="AA263" i="1"/>
  <c r="Z263" i="1"/>
  <c r="X263" i="1"/>
  <c r="AB263" i="1" s="1"/>
  <c r="W263" i="1"/>
  <c r="V263" i="1"/>
  <c r="Q263" i="1"/>
  <c r="K263" i="1"/>
  <c r="Z262" i="1"/>
  <c r="X262" i="1"/>
  <c r="W262" i="1"/>
  <c r="V262" i="1"/>
  <c r="Q262" i="1"/>
  <c r="K262" i="1"/>
  <c r="Z261" i="1"/>
  <c r="X261" i="1"/>
  <c r="AB261" i="1" s="1"/>
  <c r="W261" i="1"/>
  <c r="V261" i="1"/>
  <c r="Q261" i="1"/>
  <c r="K261" i="1"/>
  <c r="Z260" i="1"/>
  <c r="X260" i="1"/>
  <c r="AB260" i="1" s="1"/>
  <c r="V260" i="1"/>
  <c r="W260" i="1" s="1"/>
  <c r="Q260" i="1"/>
  <c r="K260" i="1"/>
  <c r="Z259" i="1"/>
  <c r="X259" i="1"/>
  <c r="W259" i="1"/>
  <c r="V259" i="1"/>
  <c r="Q259" i="1"/>
  <c r="K259" i="1"/>
  <c r="W258" i="1"/>
  <c r="V258" i="1"/>
  <c r="Q258" i="1"/>
  <c r="P258" i="1"/>
  <c r="N258" i="1"/>
  <c r="K258" i="1"/>
  <c r="Z257" i="1"/>
  <c r="X257" i="1"/>
  <c r="W257" i="1"/>
  <c r="V257" i="1"/>
  <c r="Q257" i="1"/>
  <c r="P257" i="1"/>
  <c r="N257" i="1"/>
  <c r="K257" i="1"/>
  <c r="A257" i="1"/>
  <c r="A258" i="1" s="1"/>
  <c r="A259" i="1" s="1"/>
  <c r="A260" i="1" s="1"/>
  <c r="A261" i="1" s="1"/>
  <c r="A262" i="1" s="1"/>
  <c r="A263" i="1" s="1"/>
  <c r="AA256" i="1"/>
  <c r="Z256" i="1"/>
  <c r="X256" i="1"/>
  <c r="AB256" i="1" s="1"/>
  <c r="W256" i="1"/>
  <c r="V256" i="1"/>
  <c r="Q256" i="1"/>
  <c r="P256" i="1"/>
  <c r="N256" i="1"/>
  <c r="K256" i="1"/>
  <c r="A256" i="1"/>
  <c r="AB255" i="1"/>
  <c r="Z255" i="1"/>
  <c r="X255" i="1"/>
  <c r="AA255" i="1" s="1"/>
  <c r="V255" i="1"/>
  <c r="W255" i="1" s="1"/>
  <c r="Q255" i="1"/>
  <c r="P255" i="1"/>
  <c r="N255" i="1"/>
  <c r="K255" i="1"/>
  <c r="AB254" i="1"/>
  <c r="Z254" i="1"/>
  <c r="X254" i="1"/>
  <c r="AA254" i="1" s="1"/>
  <c r="V254" i="1"/>
  <c r="W254" i="1" s="1"/>
  <c r="Q254" i="1"/>
  <c r="K254" i="1"/>
  <c r="Z253" i="1"/>
  <c r="AA253" i="1" s="1"/>
  <c r="X253" i="1"/>
  <c r="AB253" i="1" s="1"/>
  <c r="V253" i="1"/>
  <c r="W253" i="1" s="1"/>
  <c r="Q253" i="1"/>
  <c r="K253" i="1"/>
  <c r="Z252" i="1"/>
  <c r="X252" i="1"/>
  <c r="W252" i="1"/>
  <c r="V252" i="1"/>
  <c r="Q252" i="1"/>
  <c r="K252" i="1"/>
  <c r="Z251" i="1"/>
  <c r="X251" i="1"/>
  <c r="W251" i="1"/>
  <c r="V251" i="1"/>
  <c r="Q251" i="1"/>
  <c r="K251" i="1"/>
  <c r="Z250" i="1"/>
  <c r="X250" i="1"/>
  <c r="AB250" i="1" s="1"/>
  <c r="W250" i="1"/>
  <c r="V250" i="1"/>
  <c r="Q250" i="1"/>
  <c r="K250" i="1"/>
  <c r="AB249" i="1"/>
  <c r="Z249" i="1"/>
  <c r="X249" i="1"/>
  <c r="AA249" i="1" s="1"/>
  <c r="V249" i="1"/>
  <c r="W249" i="1" s="1"/>
  <c r="Q249" i="1"/>
  <c r="K249" i="1"/>
  <c r="AB248" i="1"/>
  <c r="AA248" i="1"/>
  <c r="Z248" i="1"/>
  <c r="X248" i="1"/>
  <c r="W248" i="1"/>
  <c r="V248" i="1"/>
  <c r="Q248" i="1"/>
  <c r="K248" i="1"/>
  <c r="V247" i="1"/>
  <c r="W247" i="1" s="1"/>
  <c r="P247" i="1"/>
  <c r="Q247" i="1" s="1"/>
  <c r="N247" i="1"/>
  <c r="X247" i="1" s="1"/>
  <c r="AB247" i="1" s="1"/>
  <c r="K247" i="1"/>
  <c r="AB246" i="1"/>
  <c r="AA246" i="1"/>
  <c r="Z246" i="1"/>
  <c r="X246" i="1"/>
  <c r="W246" i="1"/>
  <c r="V246" i="1"/>
  <c r="Q246" i="1"/>
  <c r="K246" i="1"/>
  <c r="AB245" i="1"/>
  <c r="Z245" i="1"/>
  <c r="AA245" i="1" s="1"/>
  <c r="V245" i="1"/>
  <c r="W245" i="1" s="1"/>
  <c r="P245" i="1"/>
  <c r="Q245" i="1" s="1"/>
  <c r="N245" i="1"/>
  <c r="X245" i="1" s="1"/>
  <c r="K245" i="1"/>
  <c r="W244" i="1"/>
  <c r="V244" i="1"/>
  <c r="Q244" i="1"/>
  <c r="P244" i="1"/>
  <c r="N244" i="1"/>
  <c r="K244" i="1"/>
  <c r="V243" i="1"/>
  <c r="W243" i="1" s="1"/>
  <c r="Q243" i="1"/>
  <c r="P243" i="1"/>
  <c r="N243" i="1"/>
  <c r="K243" i="1"/>
  <c r="V242" i="1"/>
  <c r="W242" i="1" s="1"/>
  <c r="P242" i="1"/>
  <c r="Q242" i="1" s="1"/>
  <c r="N242" i="1"/>
  <c r="K242" i="1"/>
  <c r="X241" i="1"/>
  <c r="V241" i="1"/>
  <c r="W241" i="1" s="1"/>
  <c r="Q241" i="1"/>
  <c r="P241" i="1"/>
  <c r="N241" i="1"/>
  <c r="Z241" i="1" s="1"/>
  <c r="K241" i="1"/>
  <c r="Z240" i="1"/>
  <c r="X240" i="1"/>
  <c r="W240" i="1"/>
  <c r="V240" i="1"/>
  <c r="P240" i="1"/>
  <c r="Q240" i="1" s="1"/>
  <c r="N240" i="1"/>
  <c r="K240" i="1"/>
  <c r="Z239" i="1"/>
  <c r="X239" i="1"/>
  <c r="V239" i="1"/>
  <c r="W239" i="1" s="1"/>
  <c r="Q239" i="1"/>
  <c r="P239" i="1"/>
  <c r="N239" i="1"/>
  <c r="K239" i="1"/>
  <c r="Z238" i="1"/>
  <c r="X238" i="1"/>
  <c r="V238" i="1"/>
  <c r="W238" i="1" s="1"/>
  <c r="Q238" i="1"/>
  <c r="P238" i="1"/>
  <c r="N238" i="1"/>
  <c r="K238" i="1"/>
  <c r="Z237" i="1"/>
  <c r="X237" i="1"/>
  <c r="AB237" i="1" s="1"/>
  <c r="W237" i="1"/>
  <c r="V237" i="1"/>
  <c r="P237" i="1"/>
  <c r="Q237" i="1" s="1"/>
  <c r="N237" i="1"/>
  <c r="K237" i="1"/>
  <c r="Z236" i="1"/>
  <c r="X236" i="1"/>
  <c r="AB236" i="1" s="1"/>
  <c r="W236" i="1"/>
  <c r="V236" i="1"/>
  <c r="Q236" i="1"/>
  <c r="P236" i="1"/>
  <c r="N236" i="1"/>
  <c r="K236" i="1"/>
  <c r="AB235" i="1"/>
  <c r="AA235" i="1"/>
  <c r="Z235" i="1"/>
  <c r="X235" i="1"/>
  <c r="V235" i="1"/>
  <c r="W235" i="1" s="1"/>
  <c r="Q235" i="1"/>
  <c r="K235" i="1"/>
  <c r="X234" i="1"/>
  <c r="W234" i="1"/>
  <c r="V234" i="1"/>
  <c r="Q234" i="1"/>
  <c r="P234" i="1"/>
  <c r="N234" i="1"/>
  <c r="Z234" i="1" s="1"/>
  <c r="K234" i="1"/>
  <c r="AB233" i="1"/>
  <c r="Z233" i="1"/>
  <c r="AA233" i="1" s="1"/>
  <c r="X233" i="1"/>
  <c r="V233" i="1"/>
  <c r="W233" i="1" s="1"/>
  <c r="Q233" i="1"/>
  <c r="K233" i="1"/>
  <c r="AB232" i="1"/>
  <c r="Z232" i="1"/>
  <c r="X232" i="1"/>
  <c r="AA232" i="1" s="1"/>
  <c r="W232" i="1"/>
  <c r="V232" i="1"/>
  <c r="Q232" i="1"/>
  <c r="K232" i="1"/>
  <c r="AB231" i="1"/>
  <c r="Z231" i="1"/>
  <c r="X231" i="1"/>
  <c r="AA231" i="1" s="1"/>
  <c r="W231" i="1"/>
  <c r="V231" i="1"/>
  <c r="Q231" i="1"/>
  <c r="K231" i="1"/>
  <c r="AB230" i="1"/>
  <c r="Z230" i="1"/>
  <c r="AA230" i="1" s="1"/>
  <c r="X230" i="1"/>
  <c r="V230" i="1"/>
  <c r="W230" i="1" s="1"/>
  <c r="Q230" i="1"/>
  <c r="P230" i="1"/>
  <c r="N230" i="1"/>
  <c r="K230" i="1"/>
  <c r="AB229" i="1"/>
  <c r="AA229" i="1"/>
  <c r="Z229" i="1"/>
  <c r="X229" i="1"/>
  <c r="W229" i="1"/>
  <c r="V229" i="1"/>
  <c r="P229" i="1"/>
  <c r="Q229" i="1" s="1"/>
  <c r="N229" i="1"/>
  <c r="K229" i="1"/>
  <c r="W228" i="1"/>
  <c r="V228" i="1"/>
  <c r="Q228" i="1"/>
  <c r="P228" i="1"/>
  <c r="N228" i="1"/>
  <c r="K228" i="1"/>
  <c r="AB227" i="1"/>
  <c r="AA227" i="1"/>
  <c r="Z227" i="1"/>
  <c r="X227" i="1"/>
  <c r="V227" i="1"/>
  <c r="W227" i="1" s="1"/>
  <c r="Q227" i="1"/>
  <c r="K227" i="1"/>
  <c r="AB226" i="1"/>
  <c r="Z226" i="1"/>
  <c r="AA226" i="1" s="1"/>
  <c r="X226" i="1"/>
  <c r="W226" i="1"/>
  <c r="V226" i="1"/>
  <c r="Q226" i="1"/>
  <c r="K226" i="1"/>
  <c r="AB225" i="1"/>
  <c r="Z225" i="1"/>
  <c r="X225" i="1"/>
  <c r="AA225" i="1" s="1"/>
  <c r="W225" i="1"/>
  <c r="V225" i="1"/>
  <c r="Q225" i="1"/>
  <c r="K225" i="1"/>
  <c r="AB224" i="1"/>
  <c r="Z224" i="1"/>
  <c r="X224" i="1"/>
  <c r="V224" i="1"/>
  <c r="W224" i="1" s="1"/>
  <c r="Q224" i="1"/>
  <c r="K224" i="1"/>
  <c r="Z223" i="1"/>
  <c r="X223" i="1"/>
  <c r="V223" i="1"/>
  <c r="W223" i="1" s="1"/>
  <c r="Q223" i="1"/>
  <c r="K223" i="1"/>
  <c r="Z222" i="1"/>
  <c r="X222" i="1"/>
  <c r="V222" i="1"/>
  <c r="W222" i="1" s="1"/>
  <c r="Q222" i="1"/>
  <c r="K222" i="1"/>
  <c r="Z221" i="1"/>
  <c r="X221" i="1"/>
  <c r="W221" i="1"/>
  <c r="V221" i="1"/>
  <c r="Q221" i="1"/>
  <c r="K221" i="1"/>
  <c r="W220" i="1"/>
  <c r="V220" i="1"/>
  <c r="Q220" i="1"/>
  <c r="P220" i="1"/>
  <c r="N220" i="1"/>
  <c r="K220" i="1"/>
  <c r="X219" i="1"/>
  <c r="W219" i="1"/>
  <c r="V219" i="1"/>
  <c r="P219" i="1"/>
  <c r="Q219" i="1" s="1"/>
  <c r="N219" i="1"/>
  <c r="Z219" i="1" s="1"/>
  <c r="K219" i="1"/>
  <c r="Z218" i="1"/>
  <c r="X218" i="1"/>
  <c r="V218" i="1"/>
  <c r="W218" i="1" s="1"/>
  <c r="Q218" i="1"/>
  <c r="P218" i="1"/>
  <c r="N218" i="1"/>
  <c r="K218" i="1"/>
  <c r="Z217" i="1"/>
  <c r="X217" i="1"/>
  <c r="AB217" i="1" s="1"/>
  <c r="V217" i="1"/>
  <c r="W217" i="1" s="1"/>
  <c r="Q217" i="1"/>
  <c r="P217" i="1"/>
  <c r="N217" i="1"/>
  <c r="K217" i="1"/>
  <c r="Z216" i="1"/>
  <c r="X216" i="1"/>
  <c r="AB216" i="1" s="1"/>
  <c r="V216" i="1"/>
  <c r="W216" i="1" s="1"/>
  <c r="Q216" i="1"/>
  <c r="P216" i="1"/>
  <c r="N216" i="1"/>
  <c r="K216" i="1"/>
  <c r="Z215" i="1"/>
  <c r="X215" i="1"/>
  <c r="AB215" i="1" s="1"/>
  <c r="W215" i="1"/>
  <c r="V215" i="1"/>
  <c r="Q215" i="1"/>
  <c r="K215" i="1"/>
  <c r="Z214" i="1"/>
  <c r="X214" i="1"/>
  <c r="V214" i="1"/>
  <c r="W214" i="1" s="1"/>
  <c r="Q214" i="1"/>
  <c r="K214" i="1"/>
  <c r="AA213" i="1"/>
  <c r="Z213" i="1"/>
  <c r="X213" i="1"/>
  <c r="AB213" i="1" s="1"/>
  <c r="W213" i="1"/>
  <c r="V213" i="1"/>
  <c r="Q213" i="1"/>
  <c r="K213" i="1"/>
  <c r="Z212" i="1"/>
  <c r="X212" i="1"/>
  <c r="V212" i="1"/>
  <c r="W212" i="1" s="1"/>
  <c r="Q212" i="1"/>
  <c r="K212" i="1"/>
  <c r="Z211" i="1"/>
  <c r="X211" i="1"/>
  <c r="W211" i="1"/>
  <c r="V211" i="1"/>
  <c r="Q211" i="1"/>
  <c r="K211" i="1"/>
  <c r="A211" i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Z210" i="1"/>
  <c r="X210" i="1"/>
  <c r="AB210" i="1" s="1"/>
  <c r="V210" i="1"/>
  <c r="W210" i="1" s="1"/>
  <c r="Q210" i="1"/>
  <c r="K210" i="1"/>
  <c r="AB209" i="1"/>
  <c r="Z209" i="1"/>
  <c r="X209" i="1"/>
  <c r="AA209" i="1" s="1"/>
  <c r="V209" i="1"/>
  <c r="W209" i="1" s="1"/>
  <c r="Q209" i="1"/>
  <c r="K209" i="1"/>
  <c r="V208" i="1"/>
  <c r="W208" i="1" s="1"/>
  <c r="Q208" i="1"/>
  <c r="P208" i="1"/>
  <c r="N208" i="1"/>
  <c r="K208" i="1"/>
  <c r="V207" i="1"/>
  <c r="W207" i="1" s="1"/>
  <c r="P207" i="1"/>
  <c r="Q207" i="1" s="1"/>
  <c r="N207" i="1"/>
  <c r="K207" i="1"/>
  <c r="A207" i="1"/>
  <c r="A208" i="1" s="1"/>
  <c r="A209" i="1" s="1"/>
  <c r="A210" i="1" s="1"/>
  <c r="V206" i="1"/>
  <c r="W206" i="1" s="1"/>
  <c r="T206" i="1"/>
  <c r="P206" i="1"/>
  <c r="Q206" i="1" s="1"/>
  <c r="N206" i="1"/>
  <c r="H206" i="1"/>
  <c r="J206" i="1" s="1"/>
  <c r="K206" i="1" s="1"/>
  <c r="Z205" i="1"/>
  <c r="X205" i="1"/>
  <c r="W205" i="1"/>
  <c r="V205" i="1"/>
  <c r="T205" i="1"/>
  <c r="N205" i="1"/>
  <c r="P205" i="1" s="1"/>
  <c r="Q205" i="1" s="1"/>
  <c r="J205" i="1"/>
  <c r="K205" i="1" s="1"/>
  <c r="H205" i="1"/>
  <c r="Z204" i="1"/>
  <c r="X204" i="1"/>
  <c r="T204" i="1"/>
  <c r="V204" i="1" s="1"/>
  <c r="W204" i="1" s="1"/>
  <c r="P204" i="1"/>
  <c r="Q204" i="1" s="1"/>
  <c r="N204" i="1"/>
  <c r="J204" i="1"/>
  <c r="K204" i="1" s="1"/>
  <c r="H204" i="1"/>
  <c r="T203" i="1"/>
  <c r="V203" i="1" s="1"/>
  <c r="W203" i="1" s="1"/>
  <c r="N203" i="1"/>
  <c r="K203" i="1"/>
  <c r="J203" i="1"/>
  <c r="H203" i="1"/>
  <c r="V202" i="1"/>
  <c r="W202" i="1" s="1"/>
  <c r="T202" i="1"/>
  <c r="Z202" i="1" s="1"/>
  <c r="Q202" i="1"/>
  <c r="P202" i="1"/>
  <c r="N202" i="1"/>
  <c r="H202" i="1"/>
  <c r="J202" i="1" s="1"/>
  <c r="K202" i="1" s="1"/>
  <c r="Z201" i="1"/>
  <c r="X201" i="1"/>
  <c r="AB201" i="1" s="1"/>
  <c r="W201" i="1"/>
  <c r="V201" i="1"/>
  <c r="P201" i="1"/>
  <c r="Q201" i="1" s="1"/>
  <c r="J201" i="1"/>
  <c r="K201" i="1" s="1"/>
  <c r="AB200" i="1"/>
  <c r="Z200" i="1"/>
  <c r="X200" i="1"/>
  <c r="AA200" i="1" s="1"/>
  <c r="W200" i="1"/>
  <c r="V200" i="1"/>
  <c r="P200" i="1"/>
  <c r="Q200" i="1" s="1"/>
  <c r="J200" i="1"/>
  <c r="K200" i="1" s="1"/>
  <c r="AB199" i="1"/>
  <c r="AA199" i="1"/>
  <c r="Z199" i="1"/>
  <c r="X199" i="1"/>
  <c r="W199" i="1"/>
  <c r="V199" i="1"/>
  <c r="P199" i="1"/>
  <c r="Q199" i="1" s="1"/>
  <c r="J199" i="1"/>
  <c r="K199" i="1" s="1"/>
  <c r="AB198" i="1"/>
  <c r="Z198" i="1"/>
  <c r="X198" i="1"/>
  <c r="AA198" i="1" s="1"/>
  <c r="W198" i="1"/>
  <c r="V198" i="1"/>
  <c r="P198" i="1"/>
  <c r="Q198" i="1" s="1"/>
  <c r="J198" i="1"/>
  <c r="K198" i="1" s="1"/>
  <c r="AB197" i="1"/>
  <c r="Z197" i="1"/>
  <c r="X197" i="1"/>
  <c r="AA197" i="1" s="1"/>
  <c r="W197" i="1"/>
  <c r="V197" i="1"/>
  <c r="T197" i="1"/>
  <c r="Q197" i="1"/>
  <c r="P197" i="1"/>
  <c r="J197" i="1"/>
  <c r="K197" i="1" s="1"/>
  <c r="Z196" i="1"/>
  <c r="AA196" i="1" s="1"/>
  <c r="X196" i="1"/>
  <c r="AB196" i="1" s="1"/>
  <c r="W196" i="1"/>
  <c r="V196" i="1"/>
  <c r="Q196" i="1"/>
  <c r="P196" i="1"/>
  <c r="J196" i="1"/>
  <c r="K196" i="1" s="1"/>
  <c r="AA195" i="1"/>
  <c r="Z195" i="1"/>
  <c r="X195" i="1"/>
  <c r="AB195" i="1" s="1"/>
  <c r="T195" i="1"/>
  <c r="V195" i="1" s="1"/>
  <c r="W195" i="1" s="1"/>
  <c r="P195" i="1"/>
  <c r="Q195" i="1" s="1"/>
  <c r="J195" i="1"/>
  <c r="K195" i="1" s="1"/>
  <c r="AA194" i="1"/>
  <c r="Z194" i="1"/>
  <c r="V194" i="1"/>
  <c r="W194" i="1" s="1"/>
  <c r="T194" i="1"/>
  <c r="X194" i="1" s="1"/>
  <c r="AB194" i="1" s="1"/>
  <c r="Q194" i="1"/>
  <c r="P194" i="1"/>
  <c r="K194" i="1"/>
  <c r="J194" i="1"/>
  <c r="T193" i="1"/>
  <c r="P193" i="1"/>
  <c r="Q193" i="1" s="1"/>
  <c r="K193" i="1"/>
  <c r="J193" i="1"/>
  <c r="AB192" i="1"/>
  <c r="Z192" i="1"/>
  <c r="X192" i="1"/>
  <c r="AA192" i="1" s="1"/>
  <c r="V192" i="1"/>
  <c r="W192" i="1" s="1"/>
  <c r="P192" i="1"/>
  <c r="Q192" i="1" s="1"/>
  <c r="J192" i="1"/>
  <c r="K192" i="1" s="1"/>
  <c r="AB191" i="1"/>
  <c r="Z191" i="1"/>
  <c r="X191" i="1"/>
  <c r="AA191" i="1" s="1"/>
  <c r="V191" i="1"/>
  <c r="P191" i="1"/>
  <c r="J191" i="1"/>
  <c r="K191" i="1" s="1"/>
  <c r="E191" i="1"/>
  <c r="Q191" i="1" s="1"/>
  <c r="Z190" i="1"/>
  <c r="X190" i="1"/>
  <c r="AB190" i="1" s="1"/>
  <c r="W190" i="1"/>
  <c r="V190" i="1"/>
  <c r="Q190" i="1"/>
  <c r="P190" i="1"/>
  <c r="K190" i="1"/>
  <c r="J190" i="1"/>
  <c r="E190" i="1"/>
  <c r="Z189" i="1"/>
  <c r="X189" i="1"/>
  <c r="V189" i="1"/>
  <c r="W189" i="1" s="1"/>
  <c r="Q189" i="1"/>
  <c r="P189" i="1"/>
  <c r="K189" i="1"/>
  <c r="J189" i="1"/>
  <c r="Z188" i="1"/>
  <c r="X188" i="1"/>
  <c r="V188" i="1"/>
  <c r="W188" i="1" s="1"/>
  <c r="P188" i="1"/>
  <c r="Q188" i="1" s="1"/>
  <c r="K188" i="1"/>
  <c r="J188" i="1"/>
  <c r="Z187" i="1"/>
  <c r="X187" i="1"/>
  <c r="V187" i="1"/>
  <c r="W187" i="1" s="1"/>
  <c r="P187" i="1"/>
  <c r="Q187" i="1" s="1"/>
  <c r="K187" i="1"/>
  <c r="J187" i="1"/>
  <c r="Z186" i="1"/>
  <c r="X186" i="1"/>
  <c r="V186" i="1"/>
  <c r="W186" i="1" s="1"/>
  <c r="P186" i="1"/>
  <c r="Q186" i="1" s="1"/>
  <c r="K186" i="1"/>
  <c r="J186" i="1"/>
  <c r="Z185" i="1"/>
  <c r="X185" i="1"/>
  <c r="W185" i="1"/>
  <c r="V185" i="1"/>
  <c r="P185" i="1"/>
  <c r="Q185" i="1" s="1"/>
  <c r="K185" i="1"/>
  <c r="J185" i="1"/>
  <c r="V184" i="1"/>
  <c r="W184" i="1" s="1"/>
  <c r="T184" i="1"/>
  <c r="X184" i="1" s="1"/>
  <c r="Q184" i="1"/>
  <c r="P184" i="1"/>
  <c r="H184" i="1"/>
  <c r="J184" i="1" s="1"/>
  <c r="K184" i="1" s="1"/>
  <c r="Z183" i="1"/>
  <c r="X183" i="1"/>
  <c r="V183" i="1"/>
  <c r="W183" i="1" s="1"/>
  <c r="Q183" i="1"/>
  <c r="P183" i="1"/>
  <c r="J183" i="1"/>
  <c r="K183" i="1" s="1"/>
  <c r="Z182" i="1"/>
  <c r="X182" i="1"/>
  <c r="AB182" i="1" s="1"/>
  <c r="V182" i="1"/>
  <c r="W182" i="1" s="1"/>
  <c r="Q182" i="1"/>
  <c r="P182" i="1"/>
  <c r="J182" i="1"/>
  <c r="K182" i="1" s="1"/>
  <c r="AA181" i="1"/>
  <c r="Z181" i="1"/>
  <c r="X181" i="1"/>
  <c r="AB181" i="1" s="1"/>
  <c r="V181" i="1"/>
  <c r="W181" i="1" s="1"/>
  <c r="Q181" i="1"/>
  <c r="P181" i="1"/>
  <c r="J181" i="1"/>
  <c r="K181" i="1" s="1"/>
  <c r="Z180" i="1"/>
  <c r="X180" i="1"/>
  <c r="AB180" i="1" s="1"/>
  <c r="W180" i="1"/>
  <c r="V180" i="1"/>
  <c r="Q180" i="1"/>
  <c r="P180" i="1"/>
  <c r="J180" i="1"/>
  <c r="K180" i="1" s="1"/>
  <c r="Z179" i="1"/>
  <c r="X179" i="1"/>
  <c r="AB179" i="1" s="1"/>
  <c r="W179" i="1"/>
  <c r="V179" i="1"/>
  <c r="Q179" i="1"/>
  <c r="P179" i="1"/>
  <c r="J179" i="1"/>
  <c r="K179" i="1" s="1"/>
  <c r="Z178" i="1"/>
  <c r="X178" i="1"/>
  <c r="V178" i="1"/>
  <c r="W178" i="1" s="1"/>
  <c r="Q178" i="1"/>
  <c r="P178" i="1"/>
  <c r="J178" i="1"/>
  <c r="K178" i="1" s="1"/>
  <c r="AB177" i="1"/>
  <c r="Z177" i="1"/>
  <c r="X177" i="1"/>
  <c r="AA177" i="1" s="1"/>
  <c r="W177" i="1"/>
  <c r="V177" i="1"/>
  <c r="Q177" i="1"/>
  <c r="P177" i="1"/>
  <c r="J177" i="1"/>
  <c r="K177" i="1" s="1"/>
  <c r="AB176" i="1"/>
  <c r="Z176" i="1"/>
  <c r="X176" i="1"/>
  <c r="AA176" i="1" s="1"/>
  <c r="V176" i="1"/>
  <c r="W176" i="1" s="1"/>
  <c r="Q176" i="1"/>
  <c r="P176" i="1"/>
  <c r="J176" i="1"/>
  <c r="K176" i="1" s="1"/>
  <c r="AB175" i="1"/>
  <c r="AA175" i="1"/>
  <c r="Z175" i="1"/>
  <c r="X175" i="1"/>
  <c r="W175" i="1"/>
  <c r="V175" i="1"/>
  <c r="Q175" i="1"/>
  <c r="P175" i="1"/>
  <c r="J175" i="1"/>
  <c r="K175" i="1" s="1"/>
  <c r="AB174" i="1"/>
  <c r="AA174" i="1"/>
  <c r="Z174" i="1"/>
  <c r="X174" i="1"/>
  <c r="V174" i="1"/>
  <c r="W174" i="1" s="1"/>
  <c r="T174" i="1"/>
  <c r="Q174" i="1"/>
  <c r="P174" i="1"/>
  <c r="K174" i="1"/>
  <c r="J174" i="1"/>
  <c r="T173" i="1"/>
  <c r="P173" i="1"/>
  <c r="Q173" i="1" s="1"/>
  <c r="J173" i="1"/>
  <c r="K173" i="1" s="1"/>
  <c r="AB172" i="1"/>
  <c r="AA172" i="1"/>
  <c r="Z172" i="1"/>
  <c r="X172" i="1"/>
  <c r="W172" i="1"/>
  <c r="V172" i="1"/>
  <c r="P172" i="1"/>
  <c r="Q172" i="1" s="1"/>
  <c r="J172" i="1"/>
  <c r="K172" i="1" s="1"/>
  <c r="AB171" i="1"/>
  <c r="AA171" i="1"/>
  <c r="Z171" i="1"/>
  <c r="X171" i="1"/>
  <c r="V171" i="1"/>
  <c r="W171" i="1" s="1"/>
  <c r="P171" i="1"/>
  <c r="Q171" i="1" s="1"/>
  <c r="K171" i="1"/>
  <c r="J171" i="1"/>
  <c r="Z170" i="1"/>
  <c r="X170" i="1"/>
  <c r="W170" i="1"/>
  <c r="V170" i="1"/>
  <c r="P170" i="1"/>
  <c r="Q170" i="1" s="1"/>
  <c r="J170" i="1"/>
  <c r="K170" i="1" s="1"/>
  <c r="AA169" i="1"/>
  <c r="Z169" i="1"/>
  <c r="X169" i="1"/>
  <c r="AB169" i="1" s="1"/>
  <c r="W169" i="1"/>
  <c r="V169" i="1"/>
  <c r="P169" i="1"/>
  <c r="Q169" i="1" s="1"/>
  <c r="K169" i="1"/>
  <c r="J169" i="1"/>
  <c r="AB168" i="1"/>
  <c r="Z168" i="1"/>
  <c r="X168" i="1"/>
  <c r="AA168" i="1" s="1"/>
  <c r="W168" i="1"/>
  <c r="V168" i="1"/>
  <c r="P168" i="1"/>
  <c r="Q168" i="1" s="1"/>
  <c r="J168" i="1"/>
  <c r="K168" i="1" s="1"/>
  <c r="AA167" i="1"/>
  <c r="Z167" i="1"/>
  <c r="X167" i="1"/>
  <c r="AB167" i="1" s="1"/>
  <c r="W167" i="1"/>
  <c r="V167" i="1"/>
  <c r="Q167" i="1"/>
  <c r="P167" i="1"/>
  <c r="J167" i="1"/>
  <c r="K167" i="1" s="1"/>
  <c r="Z166" i="1"/>
  <c r="X166" i="1"/>
  <c r="V166" i="1"/>
  <c r="W166" i="1" s="1"/>
  <c r="Q166" i="1"/>
  <c r="P166" i="1"/>
  <c r="J166" i="1"/>
  <c r="K166" i="1" s="1"/>
  <c r="Z165" i="1"/>
  <c r="X165" i="1"/>
  <c r="AB165" i="1" s="1"/>
  <c r="V165" i="1"/>
  <c r="W165" i="1" s="1"/>
  <c r="Q165" i="1"/>
  <c r="P165" i="1"/>
  <c r="J165" i="1"/>
  <c r="K165" i="1" s="1"/>
  <c r="AA164" i="1"/>
  <c r="Z164" i="1"/>
  <c r="X164" i="1"/>
  <c r="AB164" i="1" s="1"/>
  <c r="V164" i="1"/>
  <c r="W164" i="1" s="1"/>
  <c r="Q164" i="1"/>
  <c r="P164" i="1"/>
  <c r="J164" i="1"/>
  <c r="K164" i="1" s="1"/>
  <c r="AA163" i="1"/>
  <c r="Z163" i="1"/>
  <c r="X163" i="1"/>
  <c r="AB163" i="1" s="1"/>
  <c r="W163" i="1"/>
  <c r="V163" i="1"/>
  <c r="Q163" i="1"/>
  <c r="P163" i="1"/>
  <c r="J163" i="1"/>
  <c r="K163" i="1" s="1"/>
  <c r="Z162" i="1"/>
  <c r="X162" i="1"/>
  <c r="AB162" i="1" s="1"/>
  <c r="W162" i="1"/>
  <c r="V162" i="1"/>
  <c r="Q162" i="1"/>
  <c r="P162" i="1"/>
  <c r="J162" i="1"/>
  <c r="K162" i="1" s="1"/>
  <c r="E162" i="1"/>
  <c r="Z161" i="1"/>
  <c r="X161" i="1"/>
  <c r="V161" i="1"/>
  <c r="W161" i="1" s="1"/>
  <c r="Q161" i="1"/>
  <c r="P161" i="1"/>
  <c r="K161" i="1"/>
  <c r="J161" i="1"/>
  <c r="Z160" i="1"/>
  <c r="X160" i="1"/>
  <c r="V160" i="1"/>
  <c r="W160" i="1" s="1"/>
  <c r="Q160" i="1"/>
  <c r="P160" i="1"/>
  <c r="K160" i="1"/>
  <c r="J160" i="1"/>
  <c r="Z159" i="1"/>
  <c r="X159" i="1"/>
  <c r="W159" i="1"/>
  <c r="V159" i="1"/>
  <c r="P159" i="1"/>
  <c r="J159" i="1"/>
  <c r="E159" i="1"/>
  <c r="AA158" i="1"/>
  <c r="Z158" i="1"/>
  <c r="X158" i="1"/>
  <c r="AB158" i="1" s="1"/>
  <c r="W158" i="1"/>
  <c r="V158" i="1"/>
  <c r="P158" i="1"/>
  <c r="J158" i="1"/>
  <c r="K158" i="1" s="1"/>
  <c r="E158" i="1"/>
  <c r="Q158" i="1" s="1"/>
  <c r="AB157" i="1"/>
  <c r="Z157" i="1"/>
  <c r="AA157" i="1" s="1"/>
  <c r="X157" i="1"/>
  <c r="W157" i="1"/>
  <c r="V157" i="1"/>
  <c r="Q157" i="1"/>
  <c r="P157" i="1"/>
  <c r="K157" i="1"/>
  <c r="J157" i="1"/>
  <c r="AB156" i="1"/>
  <c r="Z156" i="1"/>
  <c r="AA156" i="1" s="1"/>
  <c r="X156" i="1"/>
  <c r="W156" i="1"/>
  <c r="V156" i="1"/>
  <c r="Q156" i="1"/>
  <c r="P156" i="1"/>
  <c r="K156" i="1"/>
  <c r="J156" i="1"/>
  <c r="Z155" i="1"/>
  <c r="T155" i="1"/>
  <c r="V155" i="1" s="1"/>
  <c r="W155" i="1" s="1"/>
  <c r="P155" i="1"/>
  <c r="Q155" i="1" s="1"/>
  <c r="N155" i="1"/>
  <c r="H155" i="1"/>
  <c r="AB154" i="1"/>
  <c r="V154" i="1"/>
  <c r="W154" i="1" s="1"/>
  <c r="T154" i="1"/>
  <c r="N154" i="1"/>
  <c r="X154" i="1" s="1"/>
  <c r="K154" i="1"/>
  <c r="J154" i="1"/>
  <c r="H154" i="1"/>
  <c r="T153" i="1"/>
  <c r="V153" i="1" s="1"/>
  <c r="W153" i="1" s="1"/>
  <c r="Q153" i="1"/>
  <c r="P153" i="1"/>
  <c r="N153" i="1"/>
  <c r="H153" i="1"/>
  <c r="AA152" i="1"/>
  <c r="Z152" i="1"/>
  <c r="X152" i="1"/>
  <c r="AB152" i="1" s="1"/>
  <c r="W152" i="1"/>
  <c r="V152" i="1"/>
  <c r="T152" i="1"/>
  <c r="Q152" i="1"/>
  <c r="P152" i="1"/>
  <c r="K152" i="1"/>
  <c r="J152" i="1"/>
  <c r="AB151" i="1"/>
  <c r="Z151" i="1"/>
  <c r="X151" i="1"/>
  <c r="AA151" i="1" s="1"/>
  <c r="T151" i="1"/>
  <c r="V151" i="1" s="1"/>
  <c r="W151" i="1" s="1"/>
  <c r="P151" i="1"/>
  <c r="Q151" i="1" s="1"/>
  <c r="J151" i="1"/>
  <c r="K151" i="1" s="1"/>
  <c r="AB150" i="1"/>
  <c r="AA150" i="1"/>
  <c r="Z150" i="1"/>
  <c r="X150" i="1"/>
  <c r="V150" i="1"/>
  <c r="W150" i="1" s="1"/>
  <c r="T150" i="1"/>
  <c r="Q150" i="1"/>
  <c r="P150" i="1"/>
  <c r="K150" i="1"/>
  <c r="J150" i="1"/>
  <c r="T149" i="1"/>
  <c r="P149" i="1"/>
  <c r="Q149" i="1" s="1"/>
  <c r="J149" i="1"/>
  <c r="K149" i="1" s="1"/>
  <c r="V148" i="1"/>
  <c r="W148" i="1" s="1"/>
  <c r="T148" i="1"/>
  <c r="Z148" i="1" s="1"/>
  <c r="Q148" i="1"/>
  <c r="P148" i="1"/>
  <c r="K148" i="1"/>
  <c r="J148" i="1"/>
  <c r="T147" i="1"/>
  <c r="Q147" i="1"/>
  <c r="P147" i="1"/>
  <c r="K147" i="1"/>
  <c r="J147" i="1"/>
  <c r="E147" i="1"/>
  <c r="T146" i="1"/>
  <c r="Q146" i="1"/>
  <c r="P146" i="1"/>
  <c r="J146" i="1"/>
  <c r="K146" i="1" s="1"/>
  <c r="X145" i="1"/>
  <c r="AB145" i="1" s="1"/>
  <c r="V145" i="1"/>
  <c r="W145" i="1" s="1"/>
  <c r="T145" i="1"/>
  <c r="Z145" i="1" s="1"/>
  <c r="Q145" i="1"/>
  <c r="P145" i="1"/>
  <c r="K145" i="1"/>
  <c r="J145" i="1"/>
  <c r="AB144" i="1"/>
  <c r="Z144" i="1"/>
  <c r="X144" i="1"/>
  <c r="AA144" i="1" s="1"/>
  <c r="W144" i="1"/>
  <c r="V144" i="1"/>
  <c r="T144" i="1"/>
  <c r="P144" i="1"/>
  <c r="Q144" i="1" s="1"/>
  <c r="N144" i="1"/>
  <c r="K144" i="1"/>
  <c r="J144" i="1"/>
  <c r="H144" i="1"/>
  <c r="AB143" i="1"/>
  <c r="Z143" i="1"/>
  <c r="AA143" i="1" s="1"/>
  <c r="X143" i="1"/>
  <c r="V143" i="1"/>
  <c r="W143" i="1" s="1"/>
  <c r="P143" i="1"/>
  <c r="Q143" i="1" s="1"/>
  <c r="J143" i="1"/>
  <c r="K143" i="1" s="1"/>
  <c r="AB142" i="1"/>
  <c r="Z142" i="1"/>
  <c r="AA142" i="1" s="1"/>
  <c r="X142" i="1"/>
  <c r="V142" i="1"/>
  <c r="W142" i="1" s="1"/>
  <c r="P142" i="1"/>
  <c r="Q142" i="1" s="1"/>
  <c r="J142" i="1"/>
  <c r="K142" i="1" s="1"/>
  <c r="AB141" i="1"/>
  <c r="AA141" i="1"/>
  <c r="Z141" i="1"/>
  <c r="X141" i="1"/>
  <c r="V141" i="1"/>
  <c r="W141" i="1" s="1"/>
  <c r="T141" i="1"/>
  <c r="Q141" i="1"/>
  <c r="P141" i="1"/>
  <c r="J141" i="1"/>
  <c r="K141" i="1" s="1"/>
  <c r="T140" i="1"/>
  <c r="P140" i="1"/>
  <c r="Q140" i="1" s="1"/>
  <c r="J140" i="1"/>
  <c r="K140" i="1" s="1"/>
  <c r="T139" i="1"/>
  <c r="P139" i="1"/>
  <c r="Q139" i="1" s="1"/>
  <c r="K139" i="1"/>
  <c r="J139" i="1"/>
  <c r="T138" i="1"/>
  <c r="P138" i="1"/>
  <c r="Q138" i="1" s="1"/>
  <c r="K138" i="1"/>
  <c r="J138" i="1"/>
  <c r="X137" i="1"/>
  <c r="T137" i="1"/>
  <c r="Z137" i="1" s="1"/>
  <c r="P137" i="1"/>
  <c r="Q137" i="1" s="1"/>
  <c r="K137" i="1"/>
  <c r="J137" i="1"/>
  <c r="Z136" i="1"/>
  <c r="X136" i="1"/>
  <c r="W136" i="1"/>
  <c r="V136" i="1"/>
  <c r="T136" i="1"/>
  <c r="Q136" i="1"/>
  <c r="P136" i="1"/>
  <c r="J136" i="1"/>
  <c r="K136" i="1" s="1"/>
  <c r="Z135" i="1"/>
  <c r="X135" i="1"/>
  <c r="V135" i="1"/>
  <c r="W135" i="1" s="1"/>
  <c r="T135" i="1"/>
  <c r="Q135" i="1"/>
  <c r="P135" i="1"/>
  <c r="K135" i="1"/>
  <c r="J135" i="1"/>
  <c r="Z134" i="1"/>
  <c r="W134" i="1"/>
  <c r="V134" i="1"/>
  <c r="T134" i="1"/>
  <c r="P134" i="1"/>
  <c r="Q134" i="1" s="1"/>
  <c r="N134" i="1"/>
  <c r="H134" i="1"/>
  <c r="AB133" i="1"/>
  <c r="Z133" i="1"/>
  <c r="AA133" i="1" s="1"/>
  <c r="X133" i="1"/>
  <c r="V133" i="1"/>
  <c r="W133" i="1" s="1"/>
  <c r="T133" i="1"/>
  <c r="P133" i="1"/>
  <c r="Q133" i="1" s="1"/>
  <c r="J133" i="1"/>
  <c r="K133" i="1" s="1"/>
  <c r="Z132" i="1"/>
  <c r="T132" i="1"/>
  <c r="P132" i="1"/>
  <c r="Q132" i="1" s="1"/>
  <c r="J132" i="1"/>
  <c r="K132" i="1" s="1"/>
  <c r="X131" i="1"/>
  <c r="AB131" i="1" s="1"/>
  <c r="T131" i="1"/>
  <c r="Q131" i="1"/>
  <c r="P131" i="1"/>
  <c r="K131" i="1"/>
  <c r="J131" i="1"/>
  <c r="AB130" i="1"/>
  <c r="V130" i="1"/>
  <c r="W130" i="1" s="1"/>
  <c r="T130" i="1"/>
  <c r="X130" i="1" s="1"/>
  <c r="Q130" i="1"/>
  <c r="P130" i="1"/>
  <c r="J130" i="1"/>
  <c r="K130" i="1" s="1"/>
  <c r="X129" i="1"/>
  <c r="T129" i="1"/>
  <c r="Z129" i="1" s="1"/>
  <c r="P129" i="1"/>
  <c r="Q129" i="1" s="1"/>
  <c r="K129" i="1"/>
  <c r="J129" i="1"/>
  <c r="X128" i="1"/>
  <c r="V128" i="1"/>
  <c r="W128" i="1" s="1"/>
  <c r="T128" i="1"/>
  <c r="Z128" i="1" s="1"/>
  <c r="P128" i="1"/>
  <c r="Q128" i="1" s="1"/>
  <c r="J128" i="1"/>
  <c r="K128" i="1" s="1"/>
  <c r="T127" i="1"/>
  <c r="Q127" i="1"/>
  <c r="P127" i="1"/>
  <c r="K127" i="1"/>
  <c r="J127" i="1"/>
  <c r="X126" i="1"/>
  <c r="T126" i="1"/>
  <c r="Z126" i="1" s="1"/>
  <c r="P126" i="1"/>
  <c r="Q126" i="1" s="1"/>
  <c r="J126" i="1"/>
  <c r="K126" i="1" s="1"/>
  <c r="W125" i="1"/>
  <c r="V125" i="1"/>
  <c r="T125" i="1"/>
  <c r="Q125" i="1"/>
  <c r="N125" i="1"/>
  <c r="P125" i="1" s="1"/>
  <c r="K125" i="1"/>
  <c r="J125" i="1"/>
  <c r="H125" i="1"/>
  <c r="Z124" i="1"/>
  <c r="T124" i="1"/>
  <c r="V124" i="1" s="1"/>
  <c r="W124" i="1" s="1"/>
  <c r="Q124" i="1"/>
  <c r="N124" i="1"/>
  <c r="P124" i="1" s="1"/>
  <c r="H124" i="1"/>
  <c r="T123" i="1"/>
  <c r="X123" i="1" s="1"/>
  <c r="P123" i="1"/>
  <c r="Q123" i="1" s="1"/>
  <c r="N123" i="1"/>
  <c r="J123" i="1"/>
  <c r="K123" i="1" s="1"/>
  <c r="H123" i="1"/>
  <c r="T122" i="1"/>
  <c r="P122" i="1"/>
  <c r="Q122" i="1" s="1"/>
  <c r="J122" i="1"/>
  <c r="K122" i="1" s="1"/>
  <c r="AB121" i="1"/>
  <c r="Z121" i="1"/>
  <c r="X121" i="1"/>
  <c r="AA121" i="1" s="1"/>
  <c r="V121" i="1"/>
  <c r="W121" i="1" s="1"/>
  <c r="T121" i="1"/>
  <c r="Q121" i="1"/>
  <c r="P121" i="1"/>
  <c r="J121" i="1"/>
  <c r="K121" i="1" s="1"/>
  <c r="X120" i="1"/>
  <c r="AB120" i="1" s="1"/>
  <c r="W120" i="1"/>
  <c r="T120" i="1"/>
  <c r="V120" i="1" s="1"/>
  <c r="P120" i="1"/>
  <c r="Q120" i="1" s="1"/>
  <c r="K120" i="1"/>
  <c r="J120" i="1"/>
  <c r="AB119" i="1"/>
  <c r="Z119" i="1"/>
  <c r="X119" i="1"/>
  <c r="AA119" i="1" s="1"/>
  <c r="V119" i="1"/>
  <c r="W119" i="1" s="1"/>
  <c r="T119" i="1"/>
  <c r="P119" i="1"/>
  <c r="Q119" i="1" s="1"/>
  <c r="K119" i="1"/>
  <c r="J119" i="1"/>
  <c r="Z118" i="1"/>
  <c r="T118" i="1"/>
  <c r="V118" i="1" s="1"/>
  <c r="W118" i="1" s="1"/>
  <c r="N118" i="1"/>
  <c r="P118" i="1" s="1"/>
  <c r="Q118" i="1" s="1"/>
  <c r="H118" i="1"/>
  <c r="X117" i="1"/>
  <c r="T117" i="1"/>
  <c r="V117" i="1" s="1"/>
  <c r="W117" i="1" s="1"/>
  <c r="P117" i="1"/>
  <c r="Q117" i="1" s="1"/>
  <c r="N117" i="1"/>
  <c r="J117" i="1"/>
  <c r="K117" i="1" s="1"/>
  <c r="H117" i="1"/>
  <c r="T116" i="1"/>
  <c r="V116" i="1" s="1"/>
  <c r="W116" i="1" s="1"/>
  <c r="P116" i="1"/>
  <c r="Q116" i="1" s="1"/>
  <c r="N116" i="1"/>
  <c r="H116" i="1"/>
  <c r="X116" i="1" s="1"/>
  <c r="Z115" i="1"/>
  <c r="V115" i="1"/>
  <c r="W115" i="1" s="1"/>
  <c r="T115" i="1"/>
  <c r="P115" i="1"/>
  <c r="Q115" i="1" s="1"/>
  <c r="N115" i="1"/>
  <c r="H115" i="1"/>
  <c r="W114" i="1"/>
  <c r="V114" i="1"/>
  <c r="T114" i="1"/>
  <c r="Q114" i="1"/>
  <c r="N114" i="1"/>
  <c r="P114" i="1" s="1"/>
  <c r="H114" i="1"/>
  <c r="X113" i="1"/>
  <c r="AB113" i="1" s="1"/>
  <c r="T113" i="1"/>
  <c r="Q113" i="1"/>
  <c r="P113" i="1"/>
  <c r="K113" i="1"/>
  <c r="J113" i="1"/>
  <c r="AB112" i="1"/>
  <c r="Z112" i="1"/>
  <c r="AA112" i="1" s="1"/>
  <c r="X112" i="1"/>
  <c r="V112" i="1"/>
  <c r="W112" i="1" s="1"/>
  <c r="T112" i="1"/>
  <c r="P112" i="1"/>
  <c r="Q112" i="1" s="1"/>
  <c r="J112" i="1"/>
  <c r="K112" i="1" s="1"/>
  <c r="AB111" i="1"/>
  <c r="AA111" i="1"/>
  <c r="Z111" i="1"/>
  <c r="X111" i="1"/>
  <c r="W111" i="1"/>
  <c r="V111" i="1"/>
  <c r="T111" i="1"/>
  <c r="Q111" i="1"/>
  <c r="P111" i="1"/>
  <c r="J111" i="1"/>
  <c r="K111" i="1" s="1"/>
  <c r="Z110" i="1"/>
  <c r="T110" i="1"/>
  <c r="P110" i="1"/>
  <c r="Q110" i="1" s="1"/>
  <c r="K110" i="1"/>
  <c r="J110" i="1"/>
  <c r="Z109" i="1"/>
  <c r="X109" i="1"/>
  <c r="AB109" i="1" s="1"/>
  <c r="V109" i="1"/>
  <c r="W109" i="1" s="1"/>
  <c r="T109" i="1"/>
  <c r="Q109" i="1"/>
  <c r="N109" i="1"/>
  <c r="P109" i="1" s="1"/>
  <c r="H109" i="1"/>
  <c r="J109" i="1" s="1"/>
  <c r="K109" i="1" s="1"/>
  <c r="AB108" i="1"/>
  <c r="Z108" i="1"/>
  <c r="X108" i="1"/>
  <c r="V108" i="1"/>
  <c r="W108" i="1" s="1"/>
  <c r="T108" i="1"/>
  <c r="Q108" i="1"/>
  <c r="P108" i="1"/>
  <c r="J108" i="1"/>
  <c r="K108" i="1" s="1"/>
  <c r="Z107" i="1"/>
  <c r="AA107" i="1" s="1"/>
  <c r="X107" i="1"/>
  <c r="AB107" i="1" s="1"/>
  <c r="V107" i="1"/>
  <c r="W107" i="1" s="1"/>
  <c r="T107" i="1"/>
  <c r="Q107" i="1"/>
  <c r="P107" i="1"/>
  <c r="K107" i="1"/>
  <c r="J107" i="1"/>
  <c r="AB106" i="1"/>
  <c r="AA106" i="1"/>
  <c r="Z106" i="1"/>
  <c r="X106" i="1"/>
  <c r="W106" i="1"/>
  <c r="V106" i="1"/>
  <c r="Q106" i="1"/>
  <c r="P106" i="1"/>
  <c r="K106" i="1"/>
  <c r="J106" i="1"/>
  <c r="AB105" i="1"/>
  <c r="AA105" i="1"/>
  <c r="Z105" i="1"/>
  <c r="X105" i="1"/>
  <c r="W105" i="1"/>
  <c r="V105" i="1"/>
  <c r="Q105" i="1"/>
  <c r="P105" i="1"/>
  <c r="K105" i="1"/>
  <c r="J105" i="1"/>
  <c r="T104" i="1"/>
  <c r="P104" i="1"/>
  <c r="Q104" i="1" s="1"/>
  <c r="K104" i="1"/>
  <c r="J104" i="1"/>
  <c r="AB103" i="1"/>
  <c r="X103" i="1"/>
  <c r="V103" i="1"/>
  <c r="W103" i="1" s="1"/>
  <c r="T103" i="1"/>
  <c r="Z103" i="1" s="1"/>
  <c r="P103" i="1"/>
  <c r="Q103" i="1" s="1"/>
  <c r="J103" i="1"/>
  <c r="K103" i="1" s="1"/>
  <c r="Z102" i="1"/>
  <c r="T102" i="1"/>
  <c r="Q102" i="1"/>
  <c r="P102" i="1"/>
  <c r="K102" i="1"/>
  <c r="J102" i="1"/>
  <c r="AA101" i="1"/>
  <c r="Z101" i="1"/>
  <c r="X101" i="1"/>
  <c r="AB101" i="1" s="1"/>
  <c r="V101" i="1"/>
  <c r="W101" i="1" s="1"/>
  <c r="P101" i="1"/>
  <c r="Q101" i="1" s="1"/>
  <c r="K101" i="1"/>
  <c r="J101" i="1"/>
  <c r="Z100" i="1"/>
  <c r="X100" i="1"/>
  <c r="AB100" i="1" s="1"/>
  <c r="V100" i="1"/>
  <c r="W100" i="1" s="1"/>
  <c r="P100" i="1"/>
  <c r="Q100" i="1" s="1"/>
  <c r="K100" i="1"/>
  <c r="J100" i="1"/>
  <c r="Z99" i="1"/>
  <c r="X99" i="1"/>
  <c r="AB99" i="1" s="1"/>
  <c r="V99" i="1"/>
  <c r="W99" i="1" s="1"/>
  <c r="Q99" i="1"/>
  <c r="P99" i="1"/>
  <c r="K99" i="1"/>
  <c r="J99" i="1"/>
  <c r="AA98" i="1"/>
  <c r="Z98" i="1"/>
  <c r="X98" i="1"/>
  <c r="AB98" i="1" s="1"/>
  <c r="V98" i="1"/>
  <c r="W98" i="1" s="1"/>
  <c r="P98" i="1"/>
  <c r="Q98" i="1" s="1"/>
  <c r="K98" i="1"/>
  <c r="J98" i="1"/>
  <c r="AA97" i="1"/>
  <c r="Z97" i="1"/>
  <c r="X97" i="1"/>
  <c r="AB97" i="1" s="1"/>
  <c r="V97" i="1"/>
  <c r="W97" i="1" s="1"/>
  <c r="Q97" i="1"/>
  <c r="P97" i="1"/>
  <c r="K97" i="1"/>
  <c r="J97" i="1"/>
  <c r="Z96" i="1"/>
  <c r="X96" i="1"/>
  <c r="AB96" i="1" s="1"/>
  <c r="V96" i="1"/>
  <c r="W96" i="1" s="1"/>
  <c r="P96" i="1"/>
  <c r="Q96" i="1" s="1"/>
  <c r="K96" i="1"/>
  <c r="J96" i="1"/>
  <c r="Z95" i="1"/>
  <c r="X95" i="1"/>
  <c r="AB95" i="1" s="1"/>
  <c r="V95" i="1"/>
  <c r="W95" i="1" s="1"/>
  <c r="P95" i="1"/>
  <c r="Q95" i="1" s="1"/>
  <c r="K95" i="1"/>
  <c r="J95" i="1"/>
  <c r="Z94" i="1"/>
  <c r="X94" i="1"/>
  <c r="AB94" i="1" s="1"/>
  <c r="V94" i="1"/>
  <c r="W94" i="1" s="1"/>
  <c r="Q94" i="1"/>
  <c r="P94" i="1"/>
  <c r="K94" i="1"/>
  <c r="J94" i="1"/>
  <c r="AA93" i="1"/>
  <c r="Z93" i="1"/>
  <c r="X93" i="1"/>
  <c r="AB93" i="1" s="1"/>
  <c r="V93" i="1"/>
  <c r="W93" i="1" s="1"/>
  <c r="P93" i="1"/>
  <c r="Q93" i="1" s="1"/>
  <c r="K93" i="1"/>
  <c r="J93" i="1"/>
  <c r="AA92" i="1"/>
  <c r="Z92" i="1"/>
  <c r="X92" i="1"/>
  <c r="AB92" i="1" s="1"/>
  <c r="V92" i="1"/>
  <c r="W92" i="1" s="1"/>
  <c r="Q92" i="1"/>
  <c r="P92" i="1"/>
  <c r="K92" i="1"/>
  <c r="J92" i="1"/>
  <c r="Z91" i="1"/>
  <c r="X91" i="1"/>
  <c r="AB91" i="1" s="1"/>
  <c r="V91" i="1"/>
  <c r="W91" i="1" s="1"/>
  <c r="P91" i="1"/>
  <c r="Q91" i="1" s="1"/>
  <c r="K91" i="1"/>
  <c r="J91" i="1"/>
  <c r="Z90" i="1"/>
  <c r="X90" i="1"/>
  <c r="AB90" i="1" s="1"/>
  <c r="V90" i="1"/>
  <c r="W90" i="1" s="1"/>
  <c r="P90" i="1"/>
  <c r="Q90" i="1" s="1"/>
  <c r="K90" i="1"/>
  <c r="J90" i="1"/>
  <c r="Z89" i="1"/>
  <c r="X89" i="1"/>
  <c r="AB89" i="1" s="1"/>
  <c r="V89" i="1"/>
  <c r="W89" i="1" s="1"/>
  <c r="Q89" i="1"/>
  <c r="P89" i="1"/>
  <c r="K89" i="1"/>
  <c r="J89" i="1"/>
  <c r="AA88" i="1"/>
  <c r="Z88" i="1"/>
  <c r="X88" i="1"/>
  <c r="AB88" i="1" s="1"/>
  <c r="V88" i="1"/>
  <c r="W88" i="1" s="1"/>
  <c r="P88" i="1"/>
  <c r="Q88" i="1" s="1"/>
  <c r="K88" i="1"/>
  <c r="J88" i="1"/>
  <c r="AA87" i="1"/>
  <c r="Z87" i="1"/>
  <c r="X87" i="1"/>
  <c r="AB87" i="1" s="1"/>
  <c r="V87" i="1"/>
  <c r="W87" i="1" s="1"/>
  <c r="Q87" i="1"/>
  <c r="P87" i="1"/>
  <c r="K87" i="1"/>
  <c r="J87" i="1"/>
  <c r="AA86" i="1"/>
  <c r="Z86" i="1"/>
  <c r="X86" i="1"/>
  <c r="AB86" i="1" s="1"/>
  <c r="V86" i="1"/>
  <c r="W86" i="1" s="1"/>
  <c r="P86" i="1"/>
  <c r="Q86" i="1" s="1"/>
  <c r="K86" i="1"/>
  <c r="J86" i="1"/>
  <c r="Z85" i="1"/>
  <c r="X85" i="1"/>
  <c r="AB85" i="1" s="1"/>
  <c r="V85" i="1"/>
  <c r="W85" i="1" s="1"/>
  <c r="P85" i="1"/>
  <c r="Q85" i="1" s="1"/>
  <c r="K85" i="1"/>
  <c r="J85" i="1"/>
  <c r="Z84" i="1"/>
  <c r="X84" i="1"/>
  <c r="AB84" i="1" s="1"/>
  <c r="V84" i="1"/>
  <c r="W84" i="1" s="1"/>
  <c r="Q84" i="1"/>
  <c r="P84" i="1"/>
  <c r="K84" i="1"/>
  <c r="J84" i="1"/>
  <c r="AA83" i="1"/>
  <c r="Z83" i="1"/>
  <c r="X83" i="1"/>
  <c r="AB83" i="1" s="1"/>
  <c r="V83" i="1"/>
  <c r="W83" i="1" s="1"/>
  <c r="Q83" i="1"/>
  <c r="P83" i="1"/>
  <c r="K83" i="1"/>
  <c r="J83" i="1"/>
  <c r="X82" i="1"/>
  <c r="AB82" i="1" s="1"/>
  <c r="T82" i="1"/>
  <c r="Z82" i="1" s="1"/>
  <c r="Q82" i="1"/>
  <c r="P82" i="1"/>
  <c r="K82" i="1"/>
  <c r="J82" i="1"/>
  <c r="AB81" i="1"/>
  <c r="V81" i="1"/>
  <c r="W81" i="1" s="1"/>
  <c r="T81" i="1"/>
  <c r="X81" i="1" s="1"/>
  <c r="Q81" i="1"/>
  <c r="P81" i="1"/>
  <c r="J81" i="1"/>
  <c r="K81" i="1" s="1"/>
  <c r="Z80" i="1"/>
  <c r="X80" i="1"/>
  <c r="AB80" i="1" s="1"/>
  <c r="V80" i="1"/>
  <c r="W80" i="1" s="1"/>
  <c r="Q80" i="1"/>
  <c r="P80" i="1"/>
  <c r="J80" i="1"/>
  <c r="K80" i="1" s="1"/>
  <c r="Z79" i="1"/>
  <c r="X79" i="1"/>
  <c r="AB79" i="1" s="1"/>
  <c r="V79" i="1"/>
  <c r="W79" i="1" s="1"/>
  <c r="Q79" i="1"/>
  <c r="P79" i="1"/>
  <c r="J79" i="1"/>
  <c r="K79" i="1" s="1"/>
  <c r="AA78" i="1"/>
  <c r="Z78" i="1"/>
  <c r="X78" i="1"/>
  <c r="AB78" i="1" s="1"/>
  <c r="V78" i="1"/>
  <c r="W78" i="1" s="1"/>
  <c r="Q78" i="1"/>
  <c r="P78" i="1"/>
  <c r="J78" i="1"/>
  <c r="K78" i="1" s="1"/>
  <c r="AA77" i="1"/>
  <c r="Z77" i="1"/>
  <c r="X77" i="1"/>
  <c r="AB77" i="1" s="1"/>
  <c r="W77" i="1"/>
  <c r="V77" i="1"/>
  <c r="Q77" i="1"/>
  <c r="P77" i="1"/>
  <c r="J77" i="1"/>
  <c r="K77" i="1" s="1"/>
  <c r="AA76" i="1"/>
  <c r="Z76" i="1"/>
  <c r="X76" i="1"/>
  <c r="AB76" i="1" s="1"/>
  <c r="W76" i="1"/>
  <c r="V76" i="1"/>
  <c r="Q76" i="1"/>
  <c r="P76" i="1"/>
  <c r="J76" i="1"/>
  <c r="K76" i="1" s="1"/>
  <c r="Z75" i="1"/>
  <c r="X75" i="1"/>
  <c r="AB75" i="1" s="1"/>
  <c r="V75" i="1"/>
  <c r="W75" i="1" s="1"/>
  <c r="Q75" i="1"/>
  <c r="P75" i="1"/>
  <c r="J75" i="1"/>
  <c r="K75" i="1" s="1"/>
  <c r="Z74" i="1"/>
  <c r="X74" i="1"/>
  <c r="AB74" i="1" s="1"/>
  <c r="V74" i="1"/>
  <c r="W74" i="1" s="1"/>
  <c r="Q74" i="1"/>
  <c r="P74" i="1"/>
  <c r="J74" i="1"/>
  <c r="K74" i="1" s="1"/>
  <c r="X73" i="1"/>
  <c r="AB73" i="1" s="1"/>
  <c r="T73" i="1"/>
  <c r="V73" i="1" s="1"/>
  <c r="W73" i="1" s="1"/>
  <c r="N73" i="1"/>
  <c r="P73" i="1" s="1"/>
  <c r="Q73" i="1" s="1"/>
  <c r="J73" i="1"/>
  <c r="K73" i="1" s="1"/>
  <c r="H73" i="1"/>
  <c r="Z72" i="1"/>
  <c r="X72" i="1"/>
  <c r="AA72" i="1" s="1"/>
  <c r="T72" i="1"/>
  <c r="V72" i="1" s="1"/>
  <c r="W72" i="1" s="1"/>
  <c r="P72" i="1"/>
  <c r="Q72" i="1" s="1"/>
  <c r="N72" i="1"/>
  <c r="J72" i="1"/>
  <c r="K72" i="1" s="1"/>
  <c r="H72" i="1"/>
  <c r="X71" i="1"/>
  <c r="AB71" i="1" s="1"/>
  <c r="V71" i="1"/>
  <c r="W71" i="1" s="1"/>
  <c r="T71" i="1"/>
  <c r="N71" i="1"/>
  <c r="P71" i="1" s="1"/>
  <c r="Q71" i="1" s="1"/>
  <c r="K71" i="1"/>
  <c r="J71" i="1"/>
  <c r="H71" i="1"/>
  <c r="Z70" i="1"/>
  <c r="V70" i="1"/>
  <c r="W70" i="1" s="1"/>
  <c r="T70" i="1"/>
  <c r="Q70" i="1"/>
  <c r="P70" i="1"/>
  <c r="N70" i="1"/>
  <c r="H70" i="1"/>
  <c r="Z69" i="1"/>
  <c r="W69" i="1"/>
  <c r="V69" i="1"/>
  <c r="T69" i="1"/>
  <c r="N69" i="1"/>
  <c r="P69" i="1" s="1"/>
  <c r="Q69" i="1" s="1"/>
  <c r="J69" i="1"/>
  <c r="K69" i="1" s="1"/>
  <c r="H69" i="1"/>
  <c r="T68" i="1"/>
  <c r="V68" i="1" s="1"/>
  <c r="W68" i="1" s="1"/>
  <c r="P68" i="1"/>
  <c r="Q68" i="1" s="1"/>
  <c r="N68" i="1"/>
  <c r="J68" i="1"/>
  <c r="K68" i="1" s="1"/>
  <c r="H68" i="1"/>
  <c r="X67" i="1"/>
  <c r="AB67" i="1" s="1"/>
  <c r="V67" i="1"/>
  <c r="W67" i="1" s="1"/>
  <c r="T67" i="1"/>
  <c r="Q67" i="1"/>
  <c r="P67" i="1"/>
  <c r="N67" i="1"/>
  <c r="J67" i="1"/>
  <c r="K67" i="1" s="1"/>
  <c r="H67" i="1"/>
  <c r="Z67" i="1" s="1"/>
  <c r="AB66" i="1"/>
  <c r="X66" i="1"/>
  <c r="W66" i="1"/>
  <c r="V66" i="1"/>
  <c r="T66" i="1"/>
  <c r="P66" i="1"/>
  <c r="Q66" i="1" s="1"/>
  <c r="N66" i="1"/>
  <c r="H66" i="1"/>
  <c r="J66" i="1" s="1"/>
  <c r="K66" i="1" s="1"/>
  <c r="AB65" i="1"/>
  <c r="Z65" i="1"/>
  <c r="V65" i="1"/>
  <c r="W65" i="1" s="1"/>
  <c r="T65" i="1"/>
  <c r="Q65" i="1"/>
  <c r="N65" i="1"/>
  <c r="P65" i="1" s="1"/>
  <c r="H65" i="1"/>
  <c r="X65" i="1" s="1"/>
  <c r="AA65" i="1" s="1"/>
  <c r="AB64" i="1"/>
  <c r="Z64" i="1"/>
  <c r="X64" i="1"/>
  <c r="AA64" i="1" s="1"/>
  <c r="W64" i="1"/>
  <c r="V64" i="1"/>
  <c r="Q64" i="1"/>
  <c r="P64" i="1"/>
  <c r="J64" i="1"/>
  <c r="K64" i="1" s="1"/>
  <c r="AB63" i="1"/>
  <c r="Z63" i="1"/>
  <c r="X63" i="1"/>
  <c r="W63" i="1"/>
  <c r="V63" i="1"/>
  <c r="P63" i="1"/>
  <c r="Q63" i="1" s="1"/>
  <c r="K63" i="1"/>
  <c r="J63" i="1"/>
  <c r="T62" i="1"/>
  <c r="V62" i="1" s="1"/>
  <c r="W62" i="1" s="1"/>
  <c r="N62" i="1"/>
  <c r="Z62" i="1" s="1"/>
  <c r="H62" i="1"/>
  <c r="T61" i="1"/>
  <c r="V61" i="1" s="1"/>
  <c r="W61" i="1" s="1"/>
  <c r="N61" i="1"/>
  <c r="P61" i="1" s="1"/>
  <c r="Q61" i="1" s="1"/>
  <c r="J61" i="1"/>
  <c r="K61" i="1" s="1"/>
  <c r="H61" i="1"/>
  <c r="AB60" i="1"/>
  <c r="Z60" i="1"/>
  <c r="AA60" i="1" s="1"/>
  <c r="X60" i="1"/>
  <c r="T60" i="1"/>
  <c r="V60" i="1" s="1"/>
  <c r="W60" i="1" s="1"/>
  <c r="P60" i="1"/>
  <c r="Q60" i="1" s="1"/>
  <c r="J60" i="1"/>
  <c r="K60" i="1" s="1"/>
  <c r="AB59" i="1"/>
  <c r="Z59" i="1"/>
  <c r="V59" i="1"/>
  <c r="W59" i="1" s="1"/>
  <c r="T59" i="1"/>
  <c r="Q59" i="1"/>
  <c r="P59" i="1"/>
  <c r="H59" i="1"/>
  <c r="X59" i="1" s="1"/>
  <c r="AA59" i="1" s="1"/>
  <c r="AB58" i="1"/>
  <c r="X58" i="1"/>
  <c r="V58" i="1"/>
  <c r="W58" i="1" s="1"/>
  <c r="T58" i="1"/>
  <c r="Z58" i="1" s="1"/>
  <c r="P58" i="1"/>
  <c r="Q58" i="1" s="1"/>
  <c r="K58" i="1"/>
  <c r="J58" i="1"/>
  <c r="AB57" i="1"/>
  <c r="Z57" i="1"/>
  <c r="X57" i="1"/>
  <c r="AA57" i="1" s="1"/>
  <c r="W57" i="1"/>
  <c r="V57" i="1"/>
  <c r="Q57" i="1"/>
  <c r="P57" i="1"/>
  <c r="K57" i="1"/>
  <c r="J57" i="1"/>
  <c r="AB56" i="1"/>
  <c r="Z56" i="1"/>
  <c r="X56" i="1"/>
  <c r="AA56" i="1" s="1"/>
  <c r="W56" i="1"/>
  <c r="V56" i="1"/>
  <c r="P56" i="1"/>
  <c r="Q56" i="1" s="1"/>
  <c r="J56" i="1"/>
  <c r="K56" i="1" s="1"/>
  <c r="T55" i="1"/>
  <c r="V55" i="1" s="1"/>
  <c r="W55" i="1" s="1"/>
  <c r="P55" i="1"/>
  <c r="Q55" i="1" s="1"/>
  <c r="N55" i="1"/>
  <c r="H55" i="1"/>
  <c r="W54" i="1"/>
  <c r="V54" i="1"/>
  <c r="T54" i="1"/>
  <c r="N54" i="1"/>
  <c r="P54" i="1" s="1"/>
  <c r="Q54" i="1" s="1"/>
  <c r="H54" i="1"/>
  <c r="Z54" i="1" s="1"/>
  <c r="T53" i="1"/>
  <c r="V53" i="1" s="1"/>
  <c r="W53" i="1" s="1"/>
  <c r="P53" i="1"/>
  <c r="Q53" i="1" s="1"/>
  <c r="J53" i="1"/>
  <c r="K53" i="1" s="1"/>
  <c r="AB52" i="1"/>
  <c r="V52" i="1"/>
  <c r="W52" i="1" s="1"/>
  <c r="T52" i="1"/>
  <c r="P52" i="1"/>
  <c r="Q52" i="1" s="1"/>
  <c r="H52" i="1"/>
  <c r="X52" i="1" s="1"/>
  <c r="T51" i="1"/>
  <c r="X51" i="1" s="1"/>
  <c r="Q51" i="1"/>
  <c r="P51" i="1"/>
  <c r="K51" i="1"/>
  <c r="J51" i="1"/>
  <c r="H51" i="1"/>
  <c r="Z50" i="1"/>
  <c r="X50" i="1"/>
  <c r="AB50" i="1" s="1"/>
  <c r="V50" i="1"/>
  <c r="W50" i="1" s="1"/>
  <c r="Q50" i="1"/>
  <c r="P50" i="1"/>
  <c r="K50" i="1"/>
  <c r="J50" i="1"/>
  <c r="Z49" i="1"/>
  <c r="X49" i="1"/>
  <c r="AB49" i="1" s="1"/>
  <c r="W49" i="1"/>
  <c r="V49" i="1"/>
  <c r="P49" i="1"/>
  <c r="Q49" i="1" s="1"/>
  <c r="K49" i="1"/>
  <c r="J49" i="1"/>
  <c r="Z48" i="1"/>
  <c r="X48" i="1"/>
  <c r="AB48" i="1" s="1"/>
  <c r="V48" i="1"/>
  <c r="W48" i="1" s="1"/>
  <c r="P48" i="1"/>
  <c r="Q48" i="1" s="1"/>
  <c r="K48" i="1"/>
  <c r="J48" i="1"/>
  <c r="AA47" i="1"/>
  <c r="Z47" i="1"/>
  <c r="X47" i="1"/>
  <c r="AB47" i="1" s="1"/>
  <c r="V47" i="1"/>
  <c r="W47" i="1" s="1"/>
  <c r="Q47" i="1"/>
  <c r="P47" i="1"/>
  <c r="K47" i="1"/>
  <c r="J47" i="1"/>
  <c r="AA46" i="1"/>
  <c r="Z46" i="1"/>
  <c r="X46" i="1"/>
  <c r="AB46" i="1" s="1"/>
  <c r="V46" i="1"/>
  <c r="W46" i="1" s="1"/>
  <c r="P46" i="1"/>
  <c r="Q46" i="1" s="1"/>
  <c r="K46" i="1"/>
  <c r="J46" i="1"/>
  <c r="Z45" i="1"/>
  <c r="X45" i="1"/>
  <c r="AB45" i="1" s="1"/>
  <c r="W45" i="1"/>
  <c r="V45" i="1"/>
  <c r="P45" i="1"/>
  <c r="Q45" i="1" s="1"/>
  <c r="K45" i="1"/>
  <c r="J45" i="1"/>
  <c r="Z44" i="1"/>
  <c r="W44" i="1"/>
  <c r="V44" i="1"/>
  <c r="T44" i="1"/>
  <c r="P44" i="1"/>
  <c r="Q44" i="1" s="1"/>
  <c r="H44" i="1"/>
  <c r="J44" i="1" s="1"/>
  <c r="K44" i="1" s="1"/>
  <c r="Z43" i="1"/>
  <c r="AA43" i="1" s="1"/>
  <c r="X43" i="1"/>
  <c r="AB43" i="1" s="1"/>
  <c r="W43" i="1"/>
  <c r="V43" i="1"/>
  <c r="T43" i="1"/>
  <c r="Q43" i="1"/>
  <c r="P43" i="1"/>
  <c r="K43" i="1"/>
  <c r="J43" i="1"/>
  <c r="Z42" i="1"/>
  <c r="X42" i="1"/>
  <c r="AA42" i="1" s="1"/>
  <c r="W42" i="1"/>
  <c r="V42" i="1"/>
  <c r="T42" i="1"/>
  <c r="P42" i="1"/>
  <c r="Q42" i="1" s="1"/>
  <c r="K42" i="1"/>
  <c r="J42" i="1"/>
  <c r="X41" i="1"/>
  <c r="AB41" i="1" s="1"/>
  <c r="W41" i="1"/>
  <c r="V41" i="1"/>
  <c r="T41" i="1"/>
  <c r="P41" i="1"/>
  <c r="Q41" i="1" s="1"/>
  <c r="N41" i="1"/>
  <c r="J41" i="1"/>
  <c r="K41" i="1" s="1"/>
  <c r="H41" i="1"/>
  <c r="Z41" i="1" s="1"/>
  <c r="T40" i="1"/>
  <c r="V40" i="1" s="1"/>
  <c r="W40" i="1" s="1"/>
  <c r="N40" i="1"/>
  <c r="P40" i="1" s="1"/>
  <c r="Q40" i="1" s="1"/>
  <c r="J40" i="1"/>
  <c r="K40" i="1" s="1"/>
  <c r="H40" i="1"/>
  <c r="Z40" i="1" s="1"/>
  <c r="T39" i="1"/>
  <c r="V39" i="1" s="1"/>
  <c r="W39" i="1" s="1"/>
  <c r="N39" i="1"/>
  <c r="Z39" i="1" s="1"/>
  <c r="J39" i="1"/>
  <c r="K39" i="1" s="1"/>
  <c r="H39" i="1"/>
  <c r="Z38" i="1"/>
  <c r="V38" i="1"/>
  <c r="W38" i="1" s="1"/>
  <c r="T38" i="1"/>
  <c r="P38" i="1"/>
  <c r="Q38" i="1" s="1"/>
  <c r="N38" i="1"/>
  <c r="H38" i="1"/>
  <c r="J38" i="1" s="1"/>
  <c r="K38" i="1" s="1"/>
  <c r="Z37" i="1"/>
  <c r="X37" i="1"/>
  <c r="AB37" i="1" s="1"/>
  <c r="V37" i="1"/>
  <c r="W37" i="1" s="1"/>
  <c r="Q37" i="1"/>
  <c r="P37" i="1"/>
  <c r="J37" i="1"/>
  <c r="K37" i="1" s="1"/>
  <c r="Z36" i="1"/>
  <c r="X36" i="1"/>
  <c r="AA36" i="1" s="1"/>
  <c r="V36" i="1"/>
  <c r="W36" i="1" s="1"/>
  <c r="P36" i="1"/>
  <c r="Q36" i="1" s="1"/>
  <c r="K36" i="1"/>
  <c r="J36" i="1"/>
  <c r="T35" i="1"/>
  <c r="Z35" i="1" s="1"/>
  <c r="P35" i="1"/>
  <c r="Q35" i="1" s="1"/>
  <c r="K35" i="1"/>
  <c r="J35" i="1"/>
  <c r="AB34" i="1"/>
  <c r="Z34" i="1"/>
  <c r="AA34" i="1" s="1"/>
  <c r="X34" i="1"/>
  <c r="V34" i="1"/>
  <c r="W34" i="1" s="1"/>
  <c r="P34" i="1"/>
  <c r="Q34" i="1" s="1"/>
  <c r="K34" i="1"/>
  <c r="J34" i="1"/>
  <c r="AB33" i="1"/>
  <c r="Z33" i="1"/>
  <c r="AA33" i="1" s="1"/>
  <c r="X33" i="1"/>
  <c r="V33" i="1"/>
  <c r="W33" i="1" s="1"/>
  <c r="P33" i="1"/>
  <c r="Q33" i="1" s="1"/>
  <c r="K33" i="1"/>
  <c r="J33" i="1"/>
  <c r="AB32" i="1"/>
  <c r="Z32" i="1"/>
  <c r="AA32" i="1" s="1"/>
  <c r="X32" i="1"/>
  <c r="V32" i="1"/>
  <c r="W32" i="1" s="1"/>
  <c r="P32" i="1"/>
  <c r="Q32" i="1" s="1"/>
  <c r="K32" i="1"/>
  <c r="J32" i="1"/>
  <c r="AB31" i="1"/>
  <c r="Z31" i="1"/>
  <c r="AA31" i="1" s="1"/>
  <c r="X31" i="1"/>
  <c r="V31" i="1"/>
  <c r="W31" i="1" s="1"/>
  <c r="P31" i="1"/>
  <c r="Q31" i="1" s="1"/>
  <c r="K31" i="1"/>
  <c r="J31" i="1"/>
  <c r="AB30" i="1"/>
  <c r="Z30" i="1"/>
  <c r="AA30" i="1" s="1"/>
  <c r="X30" i="1"/>
  <c r="V30" i="1"/>
  <c r="W30" i="1" s="1"/>
  <c r="P30" i="1"/>
  <c r="Q30" i="1" s="1"/>
  <c r="K30" i="1"/>
  <c r="J30" i="1"/>
  <c r="AB29" i="1"/>
  <c r="Z29" i="1"/>
  <c r="AA29" i="1" s="1"/>
  <c r="X29" i="1"/>
  <c r="V29" i="1"/>
  <c r="W29" i="1" s="1"/>
  <c r="P29" i="1"/>
  <c r="Q29" i="1" s="1"/>
  <c r="K29" i="1"/>
  <c r="J29" i="1"/>
  <c r="AB28" i="1"/>
  <c r="Z28" i="1"/>
  <c r="AA28" i="1" s="1"/>
  <c r="X28" i="1"/>
  <c r="V28" i="1"/>
  <c r="W28" i="1" s="1"/>
  <c r="P28" i="1"/>
  <c r="Q28" i="1" s="1"/>
  <c r="K28" i="1"/>
  <c r="J28" i="1"/>
  <c r="AB27" i="1"/>
  <c r="Z27" i="1"/>
  <c r="AA27" i="1" s="1"/>
  <c r="X27" i="1"/>
  <c r="V27" i="1"/>
  <c r="W27" i="1" s="1"/>
  <c r="P27" i="1"/>
  <c r="Q27" i="1" s="1"/>
  <c r="K27" i="1"/>
  <c r="J27" i="1"/>
  <c r="Z26" i="1"/>
  <c r="AA26" i="1" s="1"/>
  <c r="X26" i="1"/>
  <c r="V26" i="1"/>
  <c r="W26" i="1" s="1"/>
  <c r="P26" i="1"/>
  <c r="Q26" i="1" s="1"/>
  <c r="J26" i="1"/>
  <c r="E26" i="1"/>
  <c r="K26" i="1" s="1"/>
  <c r="Z25" i="1"/>
  <c r="X25" i="1"/>
  <c r="AB25" i="1" s="1"/>
  <c r="W25" i="1"/>
  <c r="V25" i="1"/>
  <c r="Q25" i="1"/>
  <c r="P25" i="1"/>
  <c r="J25" i="1"/>
  <c r="K25" i="1" s="1"/>
  <c r="E25" i="1"/>
  <c r="Z24" i="1"/>
  <c r="X24" i="1"/>
  <c r="AA24" i="1" s="1"/>
  <c r="W24" i="1"/>
  <c r="V24" i="1"/>
  <c r="Q24" i="1"/>
  <c r="P24" i="1"/>
  <c r="J24" i="1"/>
  <c r="K24" i="1" s="1"/>
  <c r="AB23" i="1"/>
  <c r="Z23" i="1"/>
  <c r="X23" i="1"/>
  <c r="V23" i="1"/>
  <c r="W23" i="1" s="1"/>
  <c r="P23" i="1"/>
  <c r="Q23" i="1" s="1"/>
  <c r="K23" i="1"/>
  <c r="J23" i="1"/>
  <c r="Z22" i="1"/>
  <c r="X22" i="1"/>
  <c r="AA22" i="1" s="1"/>
  <c r="V22" i="1"/>
  <c r="W22" i="1" s="1"/>
  <c r="Q22" i="1"/>
  <c r="P22" i="1"/>
  <c r="K22" i="1"/>
  <c r="J22" i="1"/>
  <c r="T21" i="1"/>
  <c r="X21" i="1" s="1"/>
  <c r="Q21" i="1"/>
  <c r="P21" i="1"/>
  <c r="K21" i="1"/>
  <c r="J21" i="1"/>
  <c r="H21" i="1"/>
  <c r="V20" i="1"/>
  <c r="W20" i="1" s="1"/>
  <c r="T20" i="1"/>
  <c r="Q20" i="1"/>
  <c r="P20" i="1"/>
  <c r="N20" i="1"/>
  <c r="H20" i="1"/>
  <c r="Z20" i="1" s="1"/>
  <c r="Z19" i="1"/>
  <c r="AA19" i="1" s="1"/>
  <c r="X19" i="1"/>
  <c r="AB19" i="1" s="1"/>
  <c r="W19" i="1"/>
  <c r="V19" i="1"/>
  <c r="P19" i="1"/>
  <c r="Q19" i="1" s="1"/>
  <c r="J19" i="1"/>
  <c r="K19" i="1" s="1"/>
  <c r="Z18" i="1"/>
  <c r="X18" i="1"/>
  <c r="AB18" i="1" s="1"/>
  <c r="V18" i="1"/>
  <c r="W18" i="1" s="1"/>
  <c r="P18" i="1"/>
  <c r="Q18" i="1" s="1"/>
  <c r="J18" i="1"/>
  <c r="K18" i="1" s="1"/>
  <c r="Z17" i="1"/>
  <c r="X17" i="1"/>
  <c r="AB17" i="1" s="1"/>
  <c r="W17" i="1"/>
  <c r="V17" i="1"/>
  <c r="P17" i="1"/>
  <c r="Q17" i="1" s="1"/>
  <c r="K17" i="1"/>
  <c r="J17" i="1"/>
  <c r="AB16" i="1"/>
  <c r="Z16" i="1"/>
  <c r="AA16" i="1" s="1"/>
  <c r="X16" i="1"/>
  <c r="V16" i="1"/>
  <c r="W16" i="1" s="1"/>
  <c r="P16" i="1"/>
  <c r="Q16" i="1" s="1"/>
  <c r="K16" i="1"/>
  <c r="J16" i="1"/>
  <c r="Z15" i="1"/>
  <c r="X15" i="1"/>
  <c r="AB15" i="1" s="1"/>
  <c r="V15" i="1"/>
  <c r="W15" i="1" s="1"/>
  <c r="P15" i="1"/>
  <c r="Q15" i="1" s="1"/>
  <c r="J15" i="1"/>
  <c r="K15" i="1" s="1"/>
  <c r="Z14" i="1"/>
  <c r="X14" i="1"/>
  <c r="AB14" i="1" s="1"/>
  <c r="W14" i="1"/>
  <c r="V14" i="1"/>
  <c r="P14" i="1"/>
  <c r="Q14" i="1" s="1"/>
  <c r="K14" i="1"/>
  <c r="J14" i="1"/>
  <c r="AB13" i="1"/>
  <c r="Z13" i="1"/>
  <c r="X13" i="1"/>
  <c r="AA13" i="1" s="1"/>
  <c r="V13" i="1"/>
  <c r="W13" i="1" s="1"/>
  <c r="P13" i="1"/>
  <c r="Q13" i="1" s="1"/>
  <c r="J13" i="1"/>
  <c r="K13" i="1" s="1"/>
  <c r="AB12" i="1"/>
  <c r="AA12" i="1"/>
  <c r="Z12" i="1"/>
  <c r="X12" i="1"/>
  <c r="V12" i="1"/>
  <c r="W12" i="1" s="1"/>
  <c r="P12" i="1"/>
  <c r="Q12" i="1" s="1"/>
  <c r="J12" i="1"/>
  <c r="K12" i="1" s="1"/>
  <c r="AB11" i="1"/>
  <c r="Z11" i="1"/>
  <c r="AA11" i="1" s="1"/>
  <c r="X11" i="1"/>
  <c r="V11" i="1"/>
  <c r="W11" i="1" s="1"/>
  <c r="P11" i="1"/>
  <c r="Q11" i="1" s="1"/>
  <c r="J11" i="1"/>
  <c r="K11" i="1" s="1"/>
  <c r="AB10" i="1"/>
  <c r="Z10" i="1"/>
  <c r="AA10" i="1" s="1"/>
  <c r="X10" i="1"/>
  <c r="V10" i="1"/>
  <c r="W10" i="1" s="1"/>
  <c r="P10" i="1"/>
  <c r="Q10" i="1" s="1"/>
  <c r="J10" i="1"/>
  <c r="K10" i="1" s="1"/>
  <c r="AB116" i="1" l="1"/>
  <c r="AB21" i="1"/>
  <c r="AA51" i="1"/>
  <c r="AB51" i="1"/>
  <c r="AB123" i="1"/>
  <c r="X102" i="1"/>
  <c r="V102" i="1"/>
  <c r="W102" i="1" s="1"/>
  <c r="Z127" i="1"/>
  <c r="X127" i="1"/>
  <c r="V127" i="1"/>
  <c r="W127" i="1" s="1"/>
  <c r="AA160" i="1"/>
  <c r="AB160" i="1"/>
  <c r="X203" i="1"/>
  <c r="AB283" i="1"/>
  <c r="AA283" i="1"/>
  <c r="AB304" i="1"/>
  <c r="AA304" i="1"/>
  <c r="P39" i="1"/>
  <c r="Q39" i="1" s="1"/>
  <c r="X44" i="1"/>
  <c r="X53" i="1"/>
  <c r="X54" i="1"/>
  <c r="J62" i="1"/>
  <c r="K62" i="1" s="1"/>
  <c r="X62" i="1"/>
  <c r="X69" i="1"/>
  <c r="V82" i="1"/>
  <c r="W82" i="1" s="1"/>
  <c r="V129" i="1"/>
  <c r="W129" i="1" s="1"/>
  <c r="P203" i="1"/>
  <c r="Q203" i="1" s="1"/>
  <c r="AB219" i="1"/>
  <c r="AA219" i="1"/>
  <c r="AB221" i="1"/>
  <c r="AA221" i="1"/>
  <c r="P62" i="1"/>
  <c r="Q62" i="1" s="1"/>
  <c r="AA66" i="1"/>
  <c r="AB72" i="1"/>
  <c r="AA82" i="1"/>
  <c r="Z147" i="1"/>
  <c r="X147" i="1"/>
  <c r="V147" i="1"/>
  <c r="W147" i="1" s="1"/>
  <c r="AB170" i="1"/>
  <c r="AA170" i="1"/>
  <c r="Z243" i="1"/>
  <c r="X243" i="1"/>
  <c r="AB309" i="1"/>
  <c r="AA309" i="1"/>
  <c r="AA41" i="1"/>
  <c r="AA45" i="1"/>
  <c r="Z53" i="1"/>
  <c r="AB129" i="1"/>
  <c r="AA129" i="1"/>
  <c r="AB223" i="1"/>
  <c r="AA223" i="1"/>
  <c r="V35" i="1"/>
  <c r="W35" i="1" s="1"/>
  <c r="AB42" i="1"/>
  <c r="J55" i="1"/>
  <c r="K55" i="1" s="1"/>
  <c r="X55" i="1"/>
  <c r="Z61" i="1"/>
  <c r="AA18" i="1"/>
  <c r="X20" i="1"/>
  <c r="V21" i="1"/>
  <c r="W21" i="1" s="1"/>
  <c r="AA23" i="1"/>
  <c r="X35" i="1"/>
  <c r="AA37" i="1"/>
  <c r="X38" i="1"/>
  <c r="V51" i="1"/>
  <c r="W51" i="1" s="1"/>
  <c r="Z52" i="1"/>
  <c r="AA52" i="1" s="1"/>
  <c r="AA58" i="1"/>
  <c r="AA63" i="1"/>
  <c r="Z66" i="1"/>
  <c r="AA67" i="1"/>
  <c r="J70" i="1"/>
  <c r="K70" i="1" s="1"/>
  <c r="X70" i="1"/>
  <c r="Z71" i="1"/>
  <c r="Z73" i="1"/>
  <c r="AA73" i="1" s="1"/>
  <c r="Z81" i="1"/>
  <c r="AA81" i="1" s="1"/>
  <c r="Z104" i="1"/>
  <c r="X104" i="1"/>
  <c r="V104" i="1"/>
  <c r="W104" i="1" s="1"/>
  <c r="AA109" i="1"/>
  <c r="V113" i="1"/>
  <c r="W113" i="1" s="1"/>
  <c r="Z113" i="1"/>
  <c r="AA113" i="1" s="1"/>
  <c r="J115" i="1"/>
  <c r="K115" i="1" s="1"/>
  <c r="X115" i="1"/>
  <c r="V126" i="1"/>
  <c r="W126" i="1" s="1"/>
  <c r="Z131" i="1"/>
  <c r="AA131" i="1" s="1"/>
  <c r="V131" i="1"/>
  <c r="W131" i="1" s="1"/>
  <c r="AB135" i="1"/>
  <c r="AA135" i="1"/>
  <c r="AB166" i="1"/>
  <c r="AA166" i="1"/>
  <c r="AB212" i="1"/>
  <c r="AA212" i="1"/>
  <c r="AA215" i="1"/>
  <c r="AB218" i="1"/>
  <c r="AA218" i="1"/>
  <c r="Z138" i="1"/>
  <c r="X138" i="1"/>
  <c r="V138" i="1"/>
  <c r="W138" i="1" s="1"/>
  <c r="AA17" i="1"/>
  <c r="AA25" i="1"/>
  <c r="Z68" i="1"/>
  <c r="AA91" i="1"/>
  <c r="AA96" i="1"/>
  <c r="AB117" i="1"/>
  <c r="AA117" i="1"/>
  <c r="AB126" i="1"/>
  <c r="AA126" i="1"/>
  <c r="X155" i="1"/>
  <c r="J155" i="1"/>
  <c r="K155" i="1" s="1"/>
  <c r="AB296" i="1"/>
  <c r="AA296" i="1"/>
  <c r="AB303" i="1"/>
  <c r="AA303" i="1"/>
  <c r="J20" i="1"/>
  <c r="K20" i="1" s="1"/>
  <c r="AB36" i="1"/>
  <c r="X39" i="1"/>
  <c r="J54" i="1"/>
  <c r="K54" i="1" s="1"/>
  <c r="V123" i="1"/>
  <c r="W123" i="1" s="1"/>
  <c r="AA128" i="1"/>
  <c r="AB128" i="1"/>
  <c r="Z139" i="1"/>
  <c r="X139" i="1"/>
  <c r="Z146" i="1"/>
  <c r="X146" i="1"/>
  <c r="V146" i="1"/>
  <c r="W146" i="1" s="1"/>
  <c r="AB234" i="1"/>
  <c r="AA234" i="1"/>
  <c r="Z21" i="1"/>
  <c r="AA21" i="1" s="1"/>
  <c r="AA50" i="1"/>
  <c r="J59" i="1"/>
  <c r="K59" i="1" s="1"/>
  <c r="J65" i="1"/>
  <c r="K65" i="1" s="1"/>
  <c r="AA75" i="1"/>
  <c r="AA80" i="1"/>
  <c r="AA85" i="1"/>
  <c r="AA90" i="1"/>
  <c r="AA95" i="1"/>
  <c r="AA100" i="1"/>
  <c r="J114" i="1"/>
  <c r="K114" i="1" s="1"/>
  <c r="X114" i="1"/>
  <c r="Z114" i="1"/>
  <c r="Z122" i="1"/>
  <c r="V122" i="1"/>
  <c r="W122" i="1" s="1"/>
  <c r="V139" i="1"/>
  <c r="W139" i="1" s="1"/>
  <c r="Z153" i="1"/>
  <c r="AB305" i="1"/>
  <c r="AA305" i="1"/>
  <c r="AA71" i="1"/>
  <c r="J116" i="1"/>
  <c r="K116" i="1" s="1"/>
  <c r="Z116" i="1"/>
  <c r="AA116" i="1" s="1"/>
  <c r="AB24" i="1"/>
  <c r="AA15" i="1"/>
  <c r="AB22" i="1"/>
  <c r="AB26" i="1"/>
  <c r="AA14" i="1"/>
  <c r="AA49" i="1"/>
  <c r="Z51" i="1"/>
  <c r="J52" i="1"/>
  <c r="K52" i="1" s="1"/>
  <c r="AB137" i="1"/>
  <c r="AA137" i="1"/>
  <c r="AA162" i="1"/>
  <c r="AA204" i="1"/>
  <c r="AB204" i="1"/>
  <c r="X40" i="1"/>
  <c r="AA48" i="1"/>
  <c r="Z55" i="1"/>
  <c r="X61" i="1"/>
  <c r="AA74" i="1"/>
  <c r="AA79" i="1"/>
  <c r="AA84" i="1"/>
  <c r="AA89" i="1"/>
  <c r="AA94" i="1"/>
  <c r="AA99" i="1"/>
  <c r="AA103" i="1"/>
  <c r="V110" i="1"/>
  <c r="W110" i="1" s="1"/>
  <c r="X110" i="1"/>
  <c r="X122" i="1"/>
  <c r="J134" i="1"/>
  <c r="K134" i="1" s="1"/>
  <c r="X134" i="1"/>
  <c r="Z208" i="1"/>
  <c r="X208" i="1"/>
  <c r="AB289" i="1"/>
  <c r="AA289" i="1"/>
  <c r="AA130" i="1"/>
  <c r="AB136" i="1"/>
  <c r="AA136" i="1"/>
  <c r="Q159" i="1"/>
  <c r="K159" i="1"/>
  <c r="Z193" i="1"/>
  <c r="X193" i="1"/>
  <c r="V193" i="1"/>
  <c r="W193" i="1" s="1"/>
  <c r="AB205" i="1"/>
  <c r="AA205" i="1"/>
  <c r="AB238" i="1"/>
  <c r="AA238" i="1"/>
  <c r="Z120" i="1"/>
  <c r="AA120" i="1" s="1"/>
  <c r="Z130" i="1"/>
  <c r="Z154" i="1"/>
  <c r="AA161" i="1"/>
  <c r="AB183" i="1"/>
  <c r="AA183" i="1"/>
  <c r="AB189" i="1"/>
  <c r="AA189" i="1"/>
  <c r="AB214" i="1"/>
  <c r="AA214" i="1"/>
  <c r="Z220" i="1"/>
  <c r="X220" i="1"/>
  <c r="AB241" i="1"/>
  <c r="AA241" i="1"/>
  <c r="AA262" i="1"/>
  <c r="AB279" i="1"/>
  <c r="AA279" i="1"/>
  <c r="P302" i="1"/>
  <c r="Q302" i="1" s="1"/>
  <c r="X302" i="1"/>
  <c r="X125" i="1"/>
  <c r="Z149" i="1"/>
  <c r="X149" i="1"/>
  <c r="V149" i="1"/>
  <c r="W149" i="1" s="1"/>
  <c r="J153" i="1"/>
  <c r="K153" i="1" s="1"/>
  <c r="X153" i="1"/>
  <c r="AA159" i="1"/>
  <c r="AB161" i="1"/>
  <c r="AA180" i="1"/>
  <c r="AB188" i="1"/>
  <c r="AA188" i="1"/>
  <c r="AB262" i="1"/>
  <c r="AB288" i="1"/>
  <c r="AA288" i="1"/>
  <c r="AA295" i="1"/>
  <c r="Z117" i="1"/>
  <c r="X118" i="1"/>
  <c r="Z123" i="1"/>
  <c r="AA123" i="1" s="1"/>
  <c r="X124" i="1"/>
  <c r="Z125" i="1"/>
  <c r="AA154" i="1"/>
  <c r="AB185" i="1"/>
  <c r="AA185" i="1"/>
  <c r="AB259" i="1"/>
  <c r="AA259" i="1"/>
  <c r="X68" i="1"/>
  <c r="J118" i="1"/>
  <c r="K118" i="1" s="1"/>
  <c r="J124" i="1"/>
  <c r="K124" i="1" s="1"/>
  <c r="V137" i="1"/>
  <c r="W137" i="1" s="1"/>
  <c r="P154" i="1"/>
  <c r="Q154" i="1" s="1"/>
  <c r="AB159" i="1"/>
  <c r="Z173" i="1"/>
  <c r="X173" i="1"/>
  <c r="V173" i="1"/>
  <c r="W173" i="1" s="1"/>
  <c r="AA179" i="1"/>
  <c r="X202" i="1"/>
  <c r="Z228" i="1"/>
  <c r="X228" i="1"/>
  <c r="AB239" i="1"/>
  <c r="AA239" i="1"/>
  <c r="Z258" i="1"/>
  <c r="X258" i="1"/>
  <c r="AA293" i="1"/>
  <c r="Z302" i="1"/>
  <c r="AA108" i="1"/>
  <c r="X132" i="1"/>
  <c r="V132" i="1"/>
  <c r="W132" i="1" s="1"/>
  <c r="Z140" i="1"/>
  <c r="X140" i="1"/>
  <c r="V140" i="1"/>
  <c r="W140" i="1" s="1"/>
  <c r="AA145" i="1"/>
  <c r="AA165" i="1"/>
  <c r="AB178" i="1"/>
  <c r="AA178" i="1"/>
  <c r="AB184" i="1"/>
  <c r="AA224" i="1"/>
  <c r="AB268" i="1"/>
  <c r="AA268" i="1"/>
  <c r="AA271" i="1"/>
  <c r="AA292" i="1"/>
  <c r="Z207" i="1"/>
  <c r="X207" i="1"/>
  <c r="AB240" i="1"/>
  <c r="AA240" i="1"/>
  <c r="Z242" i="1"/>
  <c r="X242" i="1"/>
  <c r="AB252" i="1"/>
  <c r="AA252" i="1"/>
  <c r="AA201" i="1"/>
  <c r="AB211" i="1"/>
  <c r="AA211" i="1"/>
  <c r="AA216" i="1"/>
  <c r="AA217" i="1"/>
  <c r="AA236" i="1"/>
  <c r="AA237" i="1"/>
  <c r="AA261" i="1"/>
  <c r="AA270" i="1"/>
  <c r="AA291" i="1"/>
  <c r="X148" i="1"/>
  <c r="AB187" i="1"/>
  <c r="AA187" i="1"/>
  <c r="Z203" i="1"/>
  <c r="Z247" i="1"/>
  <c r="AB298" i="1"/>
  <c r="AA298" i="1"/>
  <c r="P307" i="1"/>
  <c r="Q307" i="1" s="1"/>
  <c r="Z244" i="1"/>
  <c r="X244" i="1"/>
  <c r="AA247" i="1"/>
  <c r="AB251" i="1"/>
  <c r="AA251" i="1"/>
  <c r="AB257" i="1"/>
  <c r="AA257" i="1"/>
  <c r="AB269" i="1"/>
  <c r="AA269" i="1"/>
  <c r="AA282" i="1"/>
  <c r="Z306" i="1"/>
  <c r="X306" i="1"/>
  <c r="AA182" i="1"/>
  <c r="AB186" i="1"/>
  <c r="AA186" i="1"/>
  <c r="W191" i="1"/>
  <c r="AB222" i="1"/>
  <c r="AA222" i="1"/>
  <c r="AA260" i="1"/>
  <c r="AB278" i="1"/>
  <c r="AA278" i="1"/>
  <c r="AA290" i="1"/>
  <c r="AB297" i="1"/>
  <c r="AA297" i="1"/>
  <c r="X310" i="1"/>
  <c r="Z184" i="1"/>
  <c r="AA184" i="1" s="1"/>
  <c r="X206" i="1"/>
  <c r="Z206" i="1"/>
  <c r="AA190" i="1"/>
  <c r="AA210" i="1"/>
  <c r="AA250" i="1"/>
  <c r="AA287" i="1"/>
  <c r="AB302" i="1" l="1"/>
  <c r="AA302" i="1"/>
  <c r="AB55" i="1"/>
  <c r="AA55" i="1"/>
  <c r="AB39" i="1"/>
  <c r="AA39" i="1"/>
  <c r="AB244" i="1"/>
  <c r="AA244" i="1"/>
  <c r="AB242" i="1"/>
  <c r="AA242" i="1"/>
  <c r="AA243" i="1"/>
  <c r="AB243" i="1"/>
  <c r="AA148" i="1"/>
  <c r="AB148" i="1"/>
  <c r="AB228" i="1"/>
  <c r="AA228" i="1"/>
  <c r="AA139" i="1"/>
  <c r="AB139" i="1"/>
  <c r="AB38" i="1"/>
  <c r="AA38" i="1"/>
  <c r="AB118" i="1"/>
  <c r="AA118" i="1"/>
  <c r="AB208" i="1"/>
  <c r="AA208" i="1"/>
  <c r="AB115" i="1"/>
  <c r="AA115" i="1"/>
  <c r="AB69" i="1"/>
  <c r="AA69" i="1"/>
  <c r="AA132" i="1"/>
  <c r="AB132" i="1"/>
  <c r="AB202" i="1"/>
  <c r="AA202" i="1"/>
  <c r="AA68" i="1"/>
  <c r="AB68" i="1"/>
  <c r="AB153" i="1"/>
  <c r="AA153" i="1"/>
  <c r="AB193" i="1"/>
  <c r="AA193" i="1"/>
  <c r="AA114" i="1"/>
  <c r="AB114" i="1"/>
  <c r="AA70" i="1"/>
  <c r="AB70" i="1"/>
  <c r="AB35" i="1"/>
  <c r="AA35" i="1"/>
  <c r="AB62" i="1"/>
  <c r="AA62" i="1"/>
  <c r="AA203" i="1"/>
  <c r="AB203" i="1"/>
  <c r="AB138" i="1"/>
  <c r="AA138" i="1"/>
  <c r="AB146" i="1"/>
  <c r="AA146" i="1"/>
  <c r="AA306" i="1"/>
  <c r="AB306" i="1"/>
  <c r="AB206" i="1"/>
  <c r="AA206" i="1"/>
  <c r="AB54" i="1"/>
  <c r="AA54" i="1"/>
  <c r="AA207" i="1"/>
  <c r="AB207" i="1"/>
  <c r="AA173" i="1"/>
  <c r="AB173" i="1"/>
  <c r="AB149" i="1"/>
  <c r="AA149" i="1"/>
  <c r="AB220" i="1"/>
  <c r="AA220" i="1"/>
  <c r="AB122" i="1"/>
  <c r="AA122" i="1"/>
  <c r="AB61" i="1"/>
  <c r="AA61" i="1"/>
  <c r="AB20" i="1"/>
  <c r="AA20" i="1"/>
  <c r="AB53" i="1"/>
  <c r="AA53" i="1"/>
  <c r="AB125" i="1"/>
  <c r="AA125" i="1"/>
  <c r="AA40" i="1"/>
  <c r="AB40" i="1"/>
  <c r="AB140" i="1"/>
  <c r="AA140" i="1"/>
  <c r="AB124" i="1"/>
  <c r="AA124" i="1"/>
  <c r="AB102" i="1"/>
  <c r="AA102" i="1"/>
  <c r="AB134" i="1"/>
  <c r="AA134" i="1"/>
  <c r="AB310" i="1"/>
  <c r="AA310" i="1"/>
  <c r="AB258" i="1"/>
  <c r="AA258" i="1"/>
  <c r="AB110" i="1"/>
  <c r="AA110" i="1"/>
  <c r="AA155" i="1"/>
  <c r="AB155" i="1"/>
  <c r="AB147" i="1"/>
  <c r="AA147" i="1"/>
  <c r="AB44" i="1"/>
  <c r="AA44" i="1"/>
  <c r="AB127" i="1"/>
  <c r="AA127" i="1"/>
  <c r="AB104" i="1"/>
  <c r="AA104" i="1"/>
  <c r="AB312" i="1" l="1"/>
</calcChain>
</file>

<file path=xl/sharedStrings.xml><?xml version="1.0" encoding="utf-8"?>
<sst xmlns="http://schemas.openxmlformats.org/spreadsheetml/2006/main" count="3646" uniqueCount="409">
  <si>
    <t>Общий расчет ПЦ (приложение к Обоснованию расчета плановой цены)</t>
  </si>
  <si>
    <t>№ п/п</t>
  </si>
  <si>
    <t>Наименование планируемой к закупке продукции</t>
  </si>
  <si>
    <t>КП в папках</t>
  </si>
  <si>
    <t>Единица изменения</t>
  </si>
  <si>
    <t>Требуемое количество</t>
  </si>
  <si>
    <t>ОСНОВНОЙ МЕТОД</t>
  </si>
  <si>
    <t>ПЦ по основному методу, в руб. без НДС</t>
  </si>
  <si>
    <t>КОММЕНТАРИЙ</t>
  </si>
  <si>
    <t xml:space="preserve">Средне арифметическая </t>
  </si>
  <si>
    <t xml:space="preserve">% отклонения цены за ед. в реестре от средне арифметической </t>
  </si>
  <si>
    <t>Цена (за весь объем по смете), руб. без НДС</t>
  </si>
  <si>
    <t>ИЦИ-1</t>
  </si>
  <si>
    <t>ИЦИ-2</t>
  </si>
  <si>
    <t>ИЦИ-3</t>
  </si>
  <si>
    <t>Наименование ИЦИ</t>
  </si>
  <si>
    <r>
      <rPr>
        <b/>
        <sz val="12"/>
        <rFont val="Arial"/>
        <family val="2"/>
        <charset val="204"/>
      </rPr>
      <t xml:space="preserve">Ссылка на ИЦИ </t>
    </r>
    <r>
      <rPr>
        <sz val="12"/>
        <rFont val="Arial"/>
        <family val="2"/>
        <charset val="204"/>
      </rPr>
      <t>(при наличии)</t>
    </r>
  </si>
  <si>
    <t>Стоимость продукции (за единицу) в ИЦИ, . руб. без НДС</t>
  </si>
  <si>
    <t>Ценообразующие факторы</t>
  </si>
  <si>
    <t>Стоимость продукции (за единицу) с учетом ценообразующих факторов, тыс. руб. без НДС</t>
  </si>
  <si>
    <t>Стоимость продукции (за весь объем) с учетом ценообразующих факторов, тыс. руб. без НДС</t>
  </si>
  <si>
    <t>Стоимость продукции (за единицу) в ИЦИ,  руб. без НДС</t>
  </si>
  <si>
    <t>00304 TMC Миниканал, 25х17 мм</t>
  </si>
  <si>
    <t>ДКС</t>
  </si>
  <si>
    <t>м</t>
  </si>
  <si>
    <t>ДКС № 6/03.26 от 13.03.2026</t>
  </si>
  <si>
    <t>доставка включена</t>
  </si>
  <si>
    <t>нет</t>
  </si>
  <si>
    <t>Русский Свет № 51792259 От 13.03.2026</t>
  </si>
  <si>
    <t>Электротехмонтаж № ЦП25.1382 ль 16.03.2026</t>
  </si>
  <si>
    <t>00313 TMC Миниканал, 50х20 мм</t>
  </si>
  <si>
    <t>01713 NEAV Угол внешний</t>
  </si>
  <si>
    <t>шт.</t>
  </si>
  <si>
    <t>01729 Угол внутренний изменяемый (70-120°) NIAV 100x60</t>
  </si>
  <si>
    <t>02140-RET6 DIN рейка L=600мм 35х7.5 перфорированная</t>
  </si>
  <si>
    <t>02140R-RET6 DIN-рейка OMEGA 3F, 600 мм</t>
  </si>
  <si>
    <t>03120 Кронштейн TSТ20</t>
  </si>
  <si>
    <t>06500RL Инструмент FIXO RL4 для фиксатора RL4</t>
  </si>
  <si>
    <t>06502RL Фиксатор RL DUCTAFIX RL4 для короба</t>
  </si>
  <si>
    <t>121963 Труба двустенная ПНД гибкая для кабельной канализации д.63 мм с протяжкой, SN13, в бухте 50м, цвет красный</t>
  </si>
  <si>
    <t>м.п.</t>
  </si>
  <si>
    <t>130204-00038 Адаптер (розетка) LC/UPC SM duplex (SC тип) бесфланцевый</t>
  </si>
  <si>
    <t>охранка</t>
  </si>
  <si>
    <t>МСБ № ЦБ-2072 от 15.01.2026</t>
  </si>
  <si>
    <t>Скрин_Современ_тех</t>
  </si>
  <si>
    <t>Руспожстрой № 078 от 26.01.2026</t>
  </si>
  <si>
    <t>130801-00332 Скрепа бандажная для ленты шириной 19мм, упаковка 100 шт.</t>
  </si>
  <si>
    <t>материал</t>
  </si>
  <si>
    <t>уп.</t>
  </si>
  <si>
    <t>Электротехмонтаж ЦП25.1353 от 23.01.2026</t>
  </si>
  <si>
    <t>Монтажникплюс №б/н от 23.01.2026</t>
  </si>
  <si>
    <t>НИК № б/н от 02.02.2026</t>
  </si>
  <si>
    <t>16063 Кольцо резиновое уплотнительное для двустенной трубы, д.63мм</t>
  </si>
  <si>
    <t>23063 Заглушка для двустенных труб, наружная, полиэтилен, д.63мм</t>
  </si>
  <si>
    <t>27422 Хомут из нержавеющей стали AISI 304 13х500</t>
  </si>
  <si>
    <t>35342HDZ Лоток перфорированный 150х100 L3000, горячеоцинкованный</t>
  </si>
  <si>
    <t>35523HDZ Крышка с заземлением на лоток осн.150 L3000, горячеоцинкованный</t>
  </si>
  <si>
    <t>36264KHDZ Ответвитель DL 150х100 в комплекте с крепежными элементами и соединительными пластинами, необходимыми для монтажа, горячеоцинкованный</t>
  </si>
  <si>
    <t>36822KHDZ Угол CD 90 вертикальный внеш. 90° 150/100 в комплекте с крепежными элементами и соединительными пластинами, необходимыми для монтажа, горячеоцинкованный</t>
  </si>
  <si>
    <t>37039HDZ Цинковая краска-спрей</t>
  </si>
  <si>
    <t>37113KHDZ Ответвитель TD Т-образный вертикальный осн.150 H100 в комплекте с крепежными элементами и соединительными пластинами, необходимымидля монтажа, горячеоцинкованный</t>
  </si>
  <si>
    <t>37501R Никелированная пластина для заземления PTCE</t>
  </si>
  <si>
    <t>38243HDZ Крышка CD 90 на угол вертикальный внеш. 90° осн.150, горячеоцинкованная</t>
  </si>
  <si>
    <t>38303HDZ Крышка на ответвитель Т-образный вертикальный TD</t>
  </si>
  <si>
    <t>38364HDZ Крышка на ответвитель DL осн. 150,горячеоцинкованная</t>
  </si>
  <si>
    <t>59700 Трубка термоусадочная клеевая ТТК(3:1)-30/10 черн с коэффициентом усадки 3:1 с подавлением горения</t>
  </si>
  <si>
    <t>6071R-020N Металлорукав в герметичной ПВХ-оболочке, DN 20 мм</t>
  </si>
  <si>
    <t>66BTP22 Уплотнительная муфта для герметичного металлорукава DN 20</t>
  </si>
  <si>
    <t>70012 Замок для шкафов ТШ</t>
  </si>
  <si>
    <t>Альянс Групп № б/н от 26.01.2026</t>
  </si>
  <si>
    <t>70013 Настенное крепление для шкафов серии ТШ</t>
  </si>
  <si>
    <t>комплект</t>
  </si>
  <si>
    <t>70014 Крепление на опору для шкафов серии ТШ</t>
  </si>
  <si>
    <t>BEWARD HT-1715-01 Адаптер для монтажа IP-камер на опору</t>
  </si>
  <si>
    <t>Бевард</t>
  </si>
  <si>
    <t>Бевард № б/н от 21.01.2026</t>
  </si>
  <si>
    <t>Альянс Груп № б/н от 21.01.2026</t>
  </si>
  <si>
    <t>ССБ № б/н от 21.01.2026</t>
  </si>
  <si>
    <t>Cabeus FTP-4P-Cat.5e-SOLID-OUT-LSZH-UV Кабель витая пара экранированная FTP (F/UTP), категория 5e, 4 пары (24 AWG), одножильный, экран - фольга, для внутренней и внешней прокладки (+75 C - -40 C),  малодымный безгалогенный компаунд (LSZH + UV) нг(А)-HF</t>
  </si>
  <si>
    <t>Cabeus UTP-4P-Cat.5e-SOLID-LSZH-GY  ТУ 273213-002-99030265-2021 Кабель витая пара UTP (U/UTP), неэкранированный, категория 5e, 4 пары (24 AWG), одножильный, для внутренней прокладки,  малодымный безгалогенный компаунд (LSZH) нг(А)-HF</t>
  </si>
  <si>
    <t>CA-UAM/UAF-15 Активный удлинительный кабель USB, 4,6 м</t>
  </si>
  <si>
    <t>CIC58554TRW Маркировка для кабеля треугольник 58/55</t>
  </si>
  <si>
    <t>CM06541 Саморез 3,5х50 мм с дюбелем F6</t>
  </si>
  <si>
    <t>CM100500 Гайка с насечкой, препятствующей откручиванию М5</t>
  </si>
  <si>
    <t>CM621006 Коуш стальной оцинкованный под трос D6</t>
  </si>
  <si>
    <t>CM624006 Зажим для стального троса M6</t>
  </si>
  <si>
    <t>CM628008 Талреп крюк-крюк D8, оцинкованная сталь</t>
  </si>
  <si>
    <t>CMP20D-MB-015-010 Муфта вводная MB15</t>
  </si>
  <si>
    <t>CMP20D-MB-032-005 Муфта вводная MB32</t>
  </si>
  <si>
    <t>CS3-1C5EF Разъём RJ-45 FTP для кабеля кат.5E</t>
  </si>
  <si>
    <t>DH/1 Прожектор светодиодный на низкой стойке, ручное управление, 11160 лм, 150 Вт, IP56</t>
  </si>
  <si>
    <t>охранка/циклон</t>
  </si>
  <si>
    <t>Циклон № 281 от 15.01.2026</t>
  </si>
  <si>
    <t>доставки нет</t>
  </si>
  <si>
    <t>ИП_Щербаков</t>
  </si>
  <si>
    <t>РУТЕК № ТР-30389 от 23.01.2025</t>
  </si>
  <si>
    <t>DH/2 Прожектор светодиодный на высокой стойке, ручное управление, 11160 лм, 150 Вт, IP56</t>
  </si>
  <si>
    <t>D-KRUK-3-5 Изолятор торцевой для клемм KRUK-3-5</t>
  </si>
  <si>
    <t>D-TUR-2.5-10 Изолятор торцевой для клемм TUR-2.5...10</t>
  </si>
  <si>
    <t>Evolis ACL002 Набор для чистки принтера Zenius</t>
  </si>
  <si>
    <t>Evolis R5F002EAA YMCKO 200 Лента для полноцветной печати YMCKO, 200 карт</t>
  </si>
  <si>
    <t>FTP-4P-Cat.5e-SOLID-OUT-LSZH-UV Кабель витая пара, экранированная (F/UTP), категория 5e, 4 пары, одножильный, экран – фольга, внешний, -40…+75°С</t>
  </si>
  <si>
    <t>HB-165-P2 Коробка монтажная для крепления PTZ камер на плоскую поверхность</t>
  </si>
  <si>
    <t>бевард</t>
  </si>
  <si>
    <t>HT-2615U-01 Универсальный большой адаптер (164*266*50 мм) для монтажа IP-видеокамер на опоры</t>
  </si>
  <si>
    <t>KIT6014-25A Монтажный комплект муфта металлорукав-коробка DN 20,М25х1,5, наружная резьба</t>
  </si>
  <si>
    <t>KRUK-3-PV Клемма двухуровневая, винтовой зажим, 4 точки подключения, уровни соединены перемычкой, 2.5 кв.мм</t>
  </si>
  <si>
    <t>LM-300K L-образный уголок</t>
  </si>
  <si>
    <t>LM-307K Планка для замка</t>
  </si>
  <si>
    <t>LM-395 Уголок для замка</t>
  </si>
  <si>
    <t>LM-397K Double Планка для замка</t>
  </si>
  <si>
    <t>LM-KD-300K Кожух защитный</t>
  </si>
  <si>
    <t>LM-KP-194K/395 SL Кожух защитный</t>
  </si>
  <si>
    <t>MBF-WMD03 Адаптер для монтажа IP-камер на стену в помещении</t>
  </si>
  <si>
    <t>MIFARE Plus SE 7B 1K Идентификатор</t>
  </si>
  <si>
    <t>ONKRON  G200-B Кронштейн для двух экранов с диагональю 13"-32," настольный, чёрный</t>
  </si>
  <si>
    <t>разное</t>
  </si>
  <si>
    <t>Скрин_Всеинструмент</t>
  </si>
  <si>
    <t>Скрин_Онлайнтрейд</t>
  </si>
  <si>
    <t>Скрин_Пульт</t>
  </si>
  <si>
    <t>P68M4017 Коробка индустриальная с гладкими стенками, IP68</t>
  </si>
  <si>
    <t>PA612329F2 Индустриальная гофрированная труба из полиамида (серия P F2 UF), DN 23 мм</t>
  </si>
  <si>
    <t>PA613643F2 Индустриальная гофрированная труба из полиамида (серия P F2 UF), DN 36 мм</t>
  </si>
  <si>
    <t>PACM23M32N Монтажный комплект муфта "труба-коробка", IP65/IP67, DN 23 мм, M32×1,5</t>
  </si>
  <si>
    <t>PACM36M50N Монтажный комплект муфта "труба-коробка", IP65/IP67, DN 36 мм, M50×1,5</t>
  </si>
  <si>
    <t>PADM32 Втулка соединительная, M32×1,5</t>
  </si>
  <si>
    <t>PADM50 Втулка соединительная, M50×1,5</t>
  </si>
  <si>
    <t>ParLan F/UTP Cat5e ZH нг(А)-HF 4х2х0,52 Кабель безгалогенный (LSZH) парной скрутки для СКС и IP-сетей, категория 5e</t>
  </si>
  <si>
    <t>PC01-C5EFL-05M Коммутационный шнур (патч-корд) кат.5E FTP LSZH 0,5м серый</t>
  </si>
  <si>
    <t>R5A55R Усиленные кронштейны для настенного крепления, 4 шт</t>
  </si>
  <si>
    <t>компл.</t>
  </si>
  <si>
    <t>R5STE0759 Корпус навесной STE 700х500х250мм с монтажн. Панелью</t>
  </si>
  <si>
    <t>позиция снята (R5CE0759 Корпус навесной CE c М/П ВхШхГ 700x500x250 мм)</t>
  </si>
  <si>
    <t>R5CNS50 Комплект крепежный - винт, шайба, гайка для напольных 19" IT-корпусов ДКС серии CQE, упаковка 50шт.</t>
  </si>
  <si>
    <t>R5FPST02 Кабельный фланец для навесных корпусов</t>
  </si>
  <si>
    <t>R5FPST03 Кабельный фланец для навесных корпусов</t>
  </si>
  <si>
    <t>R5FSST02 Кабельный фланец для навесных корпусов</t>
  </si>
  <si>
    <t>R5HTC16 Кабельный ввод, 16 отверстий</t>
  </si>
  <si>
    <t>R5HTC35 Кабельный ввод FL21, пластик V0 UL94, IP65, +130 - 40, 35 отверстий</t>
  </si>
  <si>
    <t>R5PCF191HE Организатор кабельный с отверстиями 4 кольца,  19" 1U, RAL7035</t>
  </si>
  <si>
    <t>R5SGB19 Шина заземления 19" медная</t>
  </si>
  <si>
    <t>R5SGC05 Кабели заземления, 1 комп-5шт, для IT-CQE</t>
  </si>
  <si>
    <t>коппл.</t>
  </si>
  <si>
    <t>R5ST0553 Корпус сварной навесной</t>
  </si>
  <si>
    <t>R5ST0863 Корпус сварной навесной</t>
  </si>
  <si>
    <t>R5STE0869 Корпус навесной CE c М/П ВхШхГ 800x600x250 мм</t>
  </si>
  <si>
    <t>RNK5EU180WH Модуль Keystone RJ45 CAT 5E неэкранированный (UTP)</t>
  </si>
  <si>
    <t>RNW1WH Универсальная розетка, 1 порт для модулей Keystone</t>
  </si>
  <si>
    <t>S66V22 Концевая втулка для металлорукава DN 20</t>
  </si>
  <si>
    <t>01870 SDN2 Коробка распределительная для к/к, 151х151х75 мм</t>
  </si>
  <si>
    <t>позиция снята (SDN1 Коробка распределительная)</t>
  </si>
  <si>
    <t>TUR-6 Клемма проходная, винтовой зажим, 2 точки подключения, 6 кв.мм, серая</t>
  </si>
  <si>
    <t>Коннектор RJ45 STP 8P8C, универсальный, cat.5e, 100 шт. TWT-PL45/S-8P8C</t>
  </si>
  <si>
    <t>UKO21-150-110-070-K41-66 Коробка распаячная КМ, двухкомпонентная, КМ42441, безгалогенная (HF), устойчивая к УФ излучению, темп. экспл. -40...+60,  150х110х70мм, IP67, 10 вводов, серая</t>
  </si>
  <si>
    <t>YNN10-812-14D-K05 Шина PE "земля" ШНИ-8х12-14-Д-Ж</t>
  </si>
  <si>
    <t>Торцевой фиксатор 5мм ZBT008</t>
  </si>
  <si>
    <t>позиция снята (ZBT005 BTU, торцевой упор)</t>
  </si>
  <si>
    <t>ZCBC02GR Зажим клеммный на DIN рейку</t>
  </si>
  <si>
    <t>Анкер болт М8х100 мм</t>
  </si>
  <si>
    <t>Анкерный болт с кольцом М12 16х110 PR08.3946</t>
  </si>
  <si>
    <t>АО-1/7 DIN Аккумуляторный отсек</t>
  </si>
  <si>
    <t>ВВГнг(А)-FRLS 3х2,5 Кабель с медными жилами, с термическим барьером из слюдосодержащих лент, с изоляцией и оболочкой из поливинилхлоридного пластиката пониженной пожарной опасности</t>
  </si>
  <si>
    <t>Гайка антивандальная WS9305 A2 M10 SW10</t>
  </si>
  <si>
    <t>Лента монтажная ЛМ-50 (F 2007, COT37, F207, 50м в упаковке) SQ0412-0101</t>
  </si>
  <si>
    <t>Заглушка 80х80 ВЧ ПИРАМИДА</t>
  </si>
  <si>
    <t>Заказная позиция Труба 80х80х3,0 ГОСТ 30245-2003/В-Ст3пс5 ГОСТ 27772-2015 L=5000 с готовым заводским полимерным покрытием, RAL7040</t>
  </si>
  <si>
    <t>труба</t>
  </si>
  <si>
    <t>Алеста №КомПр-065969 от 21.01.2026</t>
  </si>
  <si>
    <t>Монолит №3729 от 21.01.2026</t>
  </si>
  <si>
    <t>ЗКС №87881 от 21.01.2026</t>
  </si>
  <si>
    <t>К-02 (нержавейка) Кронштейн для магнита ДПМГ- 2</t>
  </si>
  <si>
    <t>К-03 (нержавейка) Кронштейн для датчика ДПМГ- 2</t>
  </si>
  <si>
    <t>К-1 Козырек</t>
  </si>
  <si>
    <t>КВГ-16/20 Комплект кабельных  вводов для присоединения трубы гофрированной к коммутаторам TFortis PSW, D16 мм - 8 шт., D20 мм -5 шт.</t>
  </si>
  <si>
    <t>Скрин_Луис</t>
  </si>
  <si>
    <t>Скрин_Деан</t>
  </si>
  <si>
    <t>Прайс_Tfortis</t>
  </si>
  <si>
    <t>КИС-Внг(А)-LS 2x2x0,78 Кабель симметричный для промышленного интерфейса RS-485</t>
  </si>
  <si>
    <t>КИС-Пнг(А)-HF 2х2х0,90 Интерфейсный кабель парной скрутки для интерфейса RS-485</t>
  </si>
  <si>
    <t>ККС-2 Комплект крепления на столб Tfortis</t>
  </si>
  <si>
    <t>КЛБ-1 304 Комплект крепления лента/бугель 20 мм, l=1 м</t>
  </si>
  <si>
    <t>КМ-4 Коробка монтажная (Заказать с отверстиями в количестве 4-8 шт. под  монтажный комплект муфта "металлорукав-коробка" DN 20, М25х1,5, наружная резьба, KIT6014-25A)</t>
  </si>
  <si>
    <t>КРАБ-220 Узел крепления уличных блоков</t>
  </si>
  <si>
    <t>КС-2 Кронштейн</t>
  </si>
  <si>
    <t>КСВЭВГнг(А)-LS 1х2х0,75 Кабель для систем сигнализации</t>
  </si>
  <si>
    <t>КСВЭВГнг(А)-LS 2х2х0,75 Кабель для систем сигнализации</t>
  </si>
  <si>
    <t>КСВЭВГнг(А)-LS 4х2х0,75 Кабель для систем сигнализации</t>
  </si>
  <si>
    <t>КСРЭВнг(А)-FRLS 4х2х1,38 Огнестойкий кабель парной скрутки</t>
  </si>
  <si>
    <t>Кузовная оцинкованная шайба DIN9021 М10</t>
  </si>
  <si>
    <t>ЛСЭ 400 Лента сигнальная шириной 400 мм</t>
  </si>
  <si>
    <t>МГКП Мастика герметизирующая для кабельных проходов</t>
  </si>
  <si>
    <t>кг</t>
  </si>
  <si>
    <t>МОМЕНТ СУПЕР ЭПОКСИ Формула 5 Универсальный эпоксидный клей, прозрачный, 14 мл шприц Б0022995 2751324</t>
  </si>
  <si>
    <t>ОГКС-5 Опора освещения граненая коническая cклaдывaющаяся, высота 5,0 м, фланец 295х295 мм</t>
  </si>
  <si>
    <t>амира</t>
  </si>
  <si>
    <t>АМИРА № 06-26012601 от 26.01.2026</t>
  </si>
  <si>
    <t>ГАММА-ЭЛЕКТРО № 13781 от 26.01.2026</t>
  </si>
  <si>
    <t>ФЕРУМТРАНС №4824 от 26.01.2026</t>
  </si>
  <si>
    <t>ПКТ-160 Подвес для крепления кабеля к тросу, 100 шт/уп</t>
  </si>
  <si>
    <t>ПуГВнг(А)-LS 1х2,5 мм² Ж-З Провод с медной жилой с ПВХ изоляцией</t>
  </si>
  <si>
    <t>ПуГВнг(А)-LS 1х6 мм² Ж-З Провод с медной жилой с ПВХ изоляцией</t>
  </si>
  <si>
    <t>Р3-ЦПнг-LS 15 арт. 76646 Металлорукав герметичный в ПВХ-изоляции с пониженным дымовыделением, с протяжкой, номинальный диаметр 15 мм</t>
  </si>
  <si>
    <t>Р3-ЦПнг-LS 20 арт. 76648
ТУ 25.99.29-072-97284872-2017 Металлорукав герметичный в ПВХ-изоляции с пониженным дымовыделением, с протяжкой, номинальный диаметр 20 мм</t>
  </si>
  <si>
    <t>Р3-ЦПнг-LS 32 арт. 73251 Металлорукав герметичный в ПВХ-изоляции с пониженным дымовыделением, с протяжкой, номинальный диаметр 32 мм</t>
  </si>
  <si>
    <t>СКС (304) 4.6х200 арт. 74910 Стяжка крепежная из нержавеющей стали</t>
  </si>
  <si>
    <t>СМ030508 Винт для электрического соединения М5х8</t>
  </si>
  <si>
    <t>СМ460850 Усиленный анкер с болтом M8</t>
  </si>
  <si>
    <t>СПДП.301316.007 Комплект монтажных частей КМЧ-6</t>
  </si>
  <si>
    <t>ТМЛ 2,5-6-2,6 Наконечник кабельный медный луженный для кабеля сечением 2,5 мм</t>
  </si>
  <si>
    <t>ТМЛ 6-8-4 Наконечник кабельный медный луженный для кабеля сечением 6,0 мм</t>
  </si>
  <si>
    <t>ТМЛ-6-6-4 Наконечники кабельные медные луженные для кабеля сечением 6 мм</t>
  </si>
  <si>
    <t>ТОЛ-нг(А)-HF-08У-2,7кН
ТУ 3587-001-88083123-2010 Кабель оптический, одномодовый, 8 волокон</t>
  </si>
  <si>
    <t>ТОЛ-нг(А)-HF-16У-2,7кН
ТУ 3587-001-88083123-2010 Кабель оптический, одномодовый, 16 волокон</t>
  </si>
  <si>
    <t>Трос в оплетке ПВХ 4/6 мм</t>
  </si>
  <si>
    <t>ТУ 2312-017-53945212 Грунтовка "ПРИМ ПЛАТИНА Праймер"</t>
  </si>
  <si>
    <t>ТУ 2312-017-53945212 Грунт-эмаль "ПРИМ ПЛАТИНА"</t>
  </si>
  <si>
    <t>ФМ-5 Фильтрующий материал (для ВТШ-170/ФТШ-170)</t>
  </si>
  <si>
    <t>Кронштейн для установки извещателей на трубу диаметром сечения 50….100 мм КТ-1</t>
  </si>
  <si>
    <t>извещатель</t>
  </si>
  <si>
    <t>Луис № ЛП025466 от 04.03.2026</t>
  </si>
  <si>
    <t>НПФ Полисервис №ER-16 от 04.03.2026</t>
  </si>
  <si>
    <t>доставка отсутствует</t>
  </si>
  <si>
    <t>МСБ №ЦБ-16343 от 05.03.2026</t>
  </si>
  <si>
    <t xml:space="preserve">Корпус УЗ поликарбонатный, герметичный </t>
  </si>
  <si>
    <t>121963 Двустенная труба ПНД гибкая для кабельной канализации д.63мм с протяжкой, SN13, цвет красный</t>
  </si>
  <si>
    <t>ДКС КК</t>
  </si>
  <si>
    <t>М</t>
  </si>
  <si>
    <t>ДКС 14/04.26 от 14.05.2026</t>
  </si>
  <si>
    <t>Альянс групп № б/н от 04.05.2026</t>
  </si>
  <si>
    <t>Луис № б/н от 07.05.2026</t>
  </si>
  <si>
    <t>30015КHDZL Соединитель лотков шарнирный GSV H100 в комплекте с метизами, горячеоцинкованный</t>
  </si>
  <si>
    <t>УП</t>
  </si>
  <si>
    <r>
      <rPr>
        <sz val="10"/>
        <rFont val="ISOCPEUR"/>
        <charset val="1"/>
      </rPr>
      <t xml:space="preserve">35102HDZ </t>
    </r>
    <r>
      <rPr>
        <sz val="10"/>
        <rFont val="ISOCPEUR"/>
        <charset val="204"/>
      </rPr>
      <t xml:space="preserve">Лоток неперфорированный 150х100 L3000, горячеоцинкованный </t>
    </r>
  </si>
  <si>
    <t>36042КHDZ Угол CPO 90 горизонтальный 90° 150х100, в комплекте с крепёжными элементами, горячеоцинкованный</t>
  </si>
  <si>
    <t>36510HDZ Перегородка SEP L3000 H100, горячеоцинкованная</t>
  </si>
  <si>
    <t>36910HDZL Защитный ограничитель RP осн. 150</t>
  </si>
  <si>
    <t>38003KHDZ Крышка на угол CPO 90 горизонтальный 90° осн.150, горячеоцинкованный</t>
  </si>
  <si>
    <t xml:space="preserve"> Крышка CD 90 на угол вертикальный внеш. 90° осн.150, горячеоцинкованная</t>
  </si>
  <si>
    <t>в описание отсутствует парт 
38243KHDZ</t>
  </si>
  <si>
    <t>38364KHDZ Крышка на ответвитель DL осн.150, горячеоцинкованная в комплекте с метизами и пластинами PTCE</t>
  </si>
  <si>
    <t>38500RZL Держатель крышки, цинк-ламельный</t>
  </si>
  <si>
    <t>BBN5020HDZ Консоль с опорой ML осн.200 мм, горячеоцинкованная</t>
  </si>
  <si>
    <t>BHL6268 Держатель кабельный для крепления к лотку/профилю, д. 62-68</t>
  </si>
  <si>
    <t>BSD9220HDZ Подвес вертикальный двойной усиленный L2000, горячеоцинкованный</t>
  </si>
  <si>
    <t>CLP1CF-100-100-M-HDZ Фланец соединительный горячеоцинкованный</t>
  </si>
  <si>
    <t>материал КК</t>
  </si>
  <si>
    <t>Электротехмонтаж № ЦП25.1692 от 28.04.2026</t>
  </si>
  <si>
    <t>Русский Свет N 52526337 от 12.05.2026</t>
  </si>
  <si>
    <t>НИК № б/н от 15.05.2026</t>
  </si>
  <si>
    <t>CLP1M-CS-6-10-1-M-HDZ Комплект соединительный КС М6х10 HDZ</t>
  </si>
  <si>
    <t>CM020620HDZ Болт с шестигранной головкой М6х20</t>
  </si>
  <si>
    <t>шт</t>
  </si>
  <si>
    <t>CM100500HDZ Гайка с насечкой, препятствующей откручиванию М5</t>
  </si>
  <si>
    <t>CM100600HDZ Гайка с насечкой, препятствующей откручиванию М6</t>
  </si>
  <si>
    <t>CM101200INOX Гайка М12 с насечкой, препятствующей отвинчиванию DIN 6923</t>
  </si>
  <si>
    <t>CM110600HDZ Гайка шестигранная М6, горяч</t>
  </si>
  <si>
    <t>CM120600HDZ Шайба кузовная M6, горячеоцинкованная</t>
  </si>
  <si>
    <t>CM121200INOX Шайба М12 кузовная DIN 9021</t>
  </si>
  <si>
    <t>CM275032HDZ Саморез с пресс-шайбой 4.2x32 острый</t>
  </si>
  <si>
    <t>CM441060HDZ Стандартный анкер со шпилькой М10, горячеоцинкованный</t>
  </si>
  <si>
    <t>GIDROSIB WS-21 Герметик для герметизации вводов инженерных коммуникаций</t>
  </si>
  <si>
    <t>Гидросиб № 296 от 15.05.2026</t>
  </si>
  <si>
    <t>LP0101HDZL Соединитель регулируемый горизонтальный H100</t>
  </si>
  <si>
    <t>LP1000RHDZL Прижим кабельного лотка</t>
  </si>
  <si>
    <t>R5ST0642WMP Корпус сварной ST без М/П 600x400x200</t>
  </si>
  <si>
    <t>UGB200HDZL Стеновое крепление лотка</t>
  </si>
  <si>
    <t>UKH400HDZL Держатель прямой крышки</t>
  </si>
  <si>
    <t>UKS303HDZ Крышка с фиксаторами 300, L 3 м, горячий цинк</t>
  </si>
  <si>
    <t>UNH323HDZ Лоток листовой неперфорированный 300x200, лонжерон 2 мм, L 3 м, горячий цинк</t>
  </si>
  <si>
    <t>URH022HDZL Редукция-заглушка</t>
  </si>
  <si>
    <t>Гайка антивандальная A2 M10 SW17</t>
  </si>
  <si>
    <t>Заказная позиция Труба 80х3,0 ГОСТ 30245-2003/В-Ст3пс5 ГОСТ 27772-2015 L=1900 с готовым заводским полимерным покрытием</t>
  </si>
  <si>
    <t>ЛСЭ 600 Лента сигнальная шириной 600 мм</t>
  </si>
  <si>
    <t>ПуГВнг(А)-LS Провод установочный 1х6, желто-зеленый</t>
  </si>
  <si>
    <t>СМ010610HDZ Винт с крестообразным шлицем М6х10</t>
  </si>
  <si>
    <t>СМ010620HDZ Винт с гладкой головкой и квадратным подголовником М6х20</t>
  </si>
  <si>
    <t>СМ030508HDZ Винт для электрического соединения М5х8</t>
  </si>
  <si>
    <t>Двустенная труба ПНД гибкая для кабельной канализации д.75мм с протяжкой, SN13, цвет красный 121975</t>
  </si>
  <si>
    <t>DIN975 Шпилька резьбовая М12х1000 нержавеющая сталь А2</t>
  </si>
  <si>
    <t>Всеинструменты.ру, скрин 20.05.2026</t>
  </si>
  <si>
    <t>АТОН Метизная компания, скрин 20.05.2026</t>
  </si>
  <si>
    <t>Мастер болтиков, скрин 20.05.2026</t>
  </si>
  <si>
    <t xml:space="preserve">30266RHDZL Заглушка сборная TC 150х100, цинк-ламельная </t>
  </si>
  <si>
    <t>ДКС маркет, скрин 20.05.2026</t>
  </si>
  <si>
    <t>Луис+, скрин  20.05.2026</t>
  </si>
  <si>
    <t>Планета электрика, скрин 20.05.2026</t>
  </si>
  <si>
    <t>KU-06005 Эмаль алкидная универсальная RAL 6005 (зелёный мох)</t>
  </si>
  <si>
    <t>л</t>
  </si>
  <si>
    <t>KU-2004 Грунт универсальный алкидный (белый)</t>
  </si>
  <si>
    <t>СМ010616HDZ Винт с крестообразным шлицем М6х16</t>
  </si>
  <si>
    <t>ЭТМ, скрин 20.05.2026</t>
  </si>
  <si>
    <t>Русский Свет, скрин 20.05.2026</t>
  </si>
  <si>
    <t>Электромонтаж, скрин 20.05.2026</t>
  </si>
  <si>
    <t>01134RL Короб перфорированный, RL6 40x40 серый, l=2 м, комплектно с крышкой</t>
  </si>
  <si>
    <t>ДКС № 3/05.26 от 25.05.2026</t>
  </si>
  <si>
    <t>Луис № б/н от 26.05.2026</t>
  </si>
  <si>
    <t>Альянс групп № б/н от 26.05.2026</t>
  </si>
  <si>
    <t>06511RL Фиксатор RL DUCTAFIX RL6 для короба</t>
  </si>
  <si>
    <t>2-2,5х6.01.016 ГОСТ 10621-80 Винт самонарезающий</t>
  </si>
  <si>
    <t>Русский Свет № 52629311 От 19.05.2026</t>
  </si>
  <si>
    <t>Монтажникплюс № 788 От 19.05.2026</t>
  </si>
  <si>
    <t>Снабсибэлектро №509 от 27.05.2025</t>
  </si>
  <si>
    <t>289721 Концевой стопор OptiClip CA802</t>
  </si>
  <si>
    <t>289777 Клемма проходная винтовая OptiClip CTS-10-I-57A-(0,5-10)-серый</t>
  </si>
  <si>
    <t>289778 Клемма проходная винтовая OptiClip CTS-10-I-BU-57A-(0,5-10)-синий</t>
  </si>
  <si>
    <t>289789 Клемма заземляющая винтовая OptiClip CGT-10-PE-I-(0,2-10)-PEN</t>
  </si>
  <si>
    <t>289817 Перемычка гребенчатая OptiClip СА718/10</t>
  </si>
  <si>
    <t>349594 Маркировка Ш=10 мм без надписей 42 шильдика OptiClip MC10</t>
  </si>
  <si>
    <t>3501210HDZ Лоток 100х50 L2000, горячеоцинкованный</t>
  </si>
  <si>
    <t>35512HDZ Крышка на лоток с заземлением осн.100 L2000, горячеоцинкованная</t>
  </si>
  <si>
    <t>50240 Муфта труба-коробка, IP67, М40х1.5, д.40мм</t>
  </si>
  <si>
    <t>50250 Муфта труба-коробка, IP67, М50х1.5, д.50мм</t>
  </si>
  <si>
    <t>54110 Коробка ответвит. с гладкими стенками, IP56, 190х140х70мм</t>
  </si>
  <si>
    <t>5ПКТп(б)-1-16/25 нг-LS Муфта концевая для 5-ти жильного бронированного кабеля с пластмассовой изоляцией сечением 16 мм</t>
  </si>
  <si>
    <t>5ПКТп(б)-1-16/25 нг-LS Муфта концевая для 5-ти жильного бронированного кабеля с пластмассовой изоляцией сечением 16-25 мм</t>
  </si>
  <si>
    <t>5ПКТп(б)-1-25/50 нг-LS Муфта концевая для 5-ти жильного бронированного кабеля с пластмассовой изоляцией сечением 50 мм</t>
  </si>
  <si>
    <t>5ПКТп(б)-1-70/120 нг-LS Муфта концевая для 5-ти жильного бронированного кабеля с пластмассовой изоляцией сечением 95 мм</t>
  </si>
  <si>
    <t>5ПКТп-1-16/25 нг-LS Муфта концевая для 5-ти жильного кабеля с пластмассовой изоляцией сечением 16 мм</t>
  </si>
  <si>
    <t>5ПСТ(б)-1-25/50(Б) Муфта соединительная для 5-ти жильного бронированного кабеля с пластмассовой изоляцией,с болтовыми соединителями, сечением 50 мм</t>
  </si>
  <si>
    <t>5ПСТ(б)-1-70/120(Б) Муфта соединительная для 5-ти жильного бронированного кабеля с пластмассовой изоляцией,с болтовыми соединителями, сечением 95 мм</t>
  </si>
  <si>
    <t>653024H Дин-рейка для горизонтальной установки в коробки 239х202 мм</t>
  </si>
  <si>
    <t>65304 Коробка ответвительная алюминиевая окрашенная, IP66/IP67, RAL9006, 239х202х85мм</t>
  </si>
  <si>
    <t>CIC55554SQW Маркировка для кабеля квадрат 55/55 (40шт./уп.)</t>
  </si>
  <si>
    <t>PC-C13C14-1M Кабель питания C13-C14, 3x1.5 мм2, с заземлением, 0,5м, черный</t>
  </si>
  <si>
    <t>PC-C13C14-3M Кабель питания C13-C14, 3x1.5 мм2, с заземлением, 3м, черный</t>
  </si>
  <si>
    <t>PC-C13C14-5M Кабель питания C13-C14, 3x1.5 мм2, с заземлением, 5м, черный</t>
  </si>
  <si>
    <t>R5FB400 Комплект крепления на столб для навесных и клеммных корпусов, ширина корпуса 400 мм</t>
  </si>
  <si>
    <t>YDN10-0020 DIN-рейка оцинкованная 20см</t>
  </si>
  <si>
    <t>арт. 00314 TMC 50/2x20 Миниканал с перегородкой</t>
  </si>
  <si>
    <t>арт. 00652 Тройник 50х20</t>
  </si>
  <si>
    <t>арт. 00653 Соединение на стык</t>
  </si>
  <si>
    <t>арт. 00833 Накладка на стык профиля</t>
  </si>
  <si>
    <t>арт. 00887 Накладка на стык крышки</t>
  </si>
  <si>
    <t>арт. 01761 Тройник/отвод NTAN 100x60</t>
  </si>
  <si>
    <t>арт. 10133 Набор адаптеров для миниканалов</t>
  </si>
  <si>
    <t>арт. 10143 Коробка монтажная универсальная PDD-N 120</t>
  </si>
  <si>
    <t>арт. 10245 Каркас в сборе с рамкой под 4 модуля</t>
  </si>
  <si>
    <t>арт. 10353 Рамка-суппорт под 6 модулей PDA-ЗDN 100</t>
  </si>
  <si>
    <t>арт. 57943 Пружина постоянного давления роликовая ППД №1 (50шт./уп.)</t>
  </si>
  <si>
    <t>арт.45005 Розетка силовая 2Р+Е, со шторками, «Viva», 2 мод., цвет белый</t>
  </si>
  <si>
    <t>Винт М10х20 В2.М10-6gх20.48 ГОСТ 17473-80</t>
  </si>
  <si>
    <t>ВМ-20 Муфта вводная для металлорукава</t>
  </si>
  <si>
    <t>ВМ-25 Муфта вводная для металлорукава</t>
  </si>
  <si>
    <t>ВМ-32 Муфта вводная для металлорукава</t>
  </si>
  <si>
    <t>ВМ-ГТ-25 Муфта вводная для трубы гофрированной Ф25 мм</t>
  </si>
  <si>
    <t>ВМ-ГТ-32 Муфта вводная для трубы гофрированной Ф32 мм</t>
  </si>
  <si>
    <t>Дюбель универсальный с шурупом 6x50 мм</t>
  </si>
  <si>
    <t>Латунный кабельный ввод М24, IP65, для диаметра кабеля 10-14 мм</t>
  </si>
  <si>
    <t>Латунный кабельный ввод М36, IP65, для диаметра кабеля 18-25 мм</t>
  </si>
  <si>
    <t>Латунный кабельный ввод М48, IP65, для диаметра кабеля 25-32 мм</t>
  </si>
  <si>
    <t>Латунный кабельный ввод М60, IP65, для диаметра кабеля 37-44 мм</t>
  </si>
  <si>
    <t>НШВИ 10,0-12 Наконечник-гильза 10мм2 с изолированным фланцем</t>
  </si>
  <si>
    <t>НШВИ 16,0-14 Наконечник-гильза 16мм2 с изолированным фланцем</t>
  </si>
  <si>
    <t>НШВИ 2,5-8 Наконечник-гильза 2,5мм2 с изолированным фланцем</t>
  </si>
  <si>
    <t>НШВИ 4,0-9 Наконечник-гильза 4мм2 с изолированным фланцем</t>
  </si>
  <si>
    <t>НШВИ 6,0-12 Наконечник-гильза 6мм2 с изолированным фланцем</t>
  </si>
  <si>
    <t>Самовулканизирующаяся лента, l=3 метра, шириной 25мм</t>
  </si>
  <si>
    <t>К-240Ц ТУ3449-005-01395331-2011 Швеллер перфорированный</t>
  </si>
  <si>
    <t>Кабель силовой, бронированный лентами, с медными многопроволочными круглыми жилами, с изоляцией и оболочкой из поливинилхлоридного пластиката пониженной пожарной опасности, не распространяющий горение, с низким дымо- и газовыделением, напряжением 0,66 кВ, сечением 5х16 мм² ВБШвнг(А)-LS</t>
  </si>
  <si>
    <t>Кабель силовой, бронированный лентами, с медными многопроволочными круглыми жилами, с изоляцией и оболочкой из поливинилхлоридного пластиката пониженной пожарной опасности, не распространяющий горение, с низким дымо- и газовыделением, напряжением 0,66 кВ, сечением 5х25 мм² ВБШвнг(А)-LS</t>
  </si>
  <si>
    <t>Кабель силовой, бронированный лентами, с медными многопроволочными круглыми жилами, с изоляцией и оболочкой из поливинилхлоридного пластиката пониженной пожарной опасности, не распространяющий горение, с низким дымо- и газовыделением, напряжением 0,66 кВ, сечением 5х50 мм² ВБШвнг(А)-LS</t>
  </si>
  <si>
    <t>Кабель силовой, бронированный лентами, с медными многопроволочными секторными жилами, с изоляцией и оболочкой из поливинилхлоридного пластиката пониженной пожарной опасности, не распространяющий горение, с низким дымо- и газовыделением, напряжением 0,66 кВ, сечением 5х95 мм² ВБШвнг(А)-LS</t>
  </si>
  <si>
    <t>Кабель силовой, бронированный лентами, с медными однопроволочными круглыми жилами, с изоляцией и оболочкой из поливинилхлоридного пластиката пониженной пожарной опасности, не распространяющий горение, с низким дымо- и газовыделением, напряжением 0,66 кВ, сечением 3х10 мм² ВБШвнг(А)-LS</t>
  </si>
  <si>
    <t>Кабель силовой, бронированный лентами, с медными однопроволочными круглыми жилами, с изоляцией и оболочкой из поливинилхлоридного пластиката пониженной пожарной опасности, не распространяющий горение, с низким дымо- и газовыделением, напряжением 0,66 кВ, сечением 3х2,5 мм² ВБШвнг(А)-LS</t>
  </si>
  <si>
    <t>Кабель силовой, бронированный лентами, с медными однопроволочными круглыми жилами, с изоляцией и оболочкой из поливинилхлоридного пластиката пониженной пожарной опасности, не распространяющий горение, с низким дымо- и газовыделением, напряжением 0,66 кВ, сечением 3х4 мм² ВБШвнг(А)-LS</t>
  </si>
  <si>
    <t>Кабель силовой, бронированный лентами, с медными однопроволочными круглыми жилами, с изоляцией и оболочкой из поливинилхлоридного пластиката пониженной пожарной опасности, не распространяющий горение, с низким дымо- и газовыделением, напряжением 0,66 кВ, сечением 5х10 мм² ВБШвнг(А)-LS</t>
  </si>
  <si>
    <t>Кабель силовой, бронированный лентами, с медными однопроволочными круглыми жилами, с изоляцией и оболочкой из поливинилхлоридного пластиката пониженной пожарной опасности, не распространяющий горение, с низким дымо- и газовыделением, напряжением 0,66 кВ, сечением 5х4 мм² ВБШвнг(А)-LS</t>
  </si>
  <si>
    <t>Кабель силовой, бронированный лентами, с медными однопроволочными круглыми жилами, с изоляцией и оболочкой из поливинилхлоридного пластиката пониженной пожарной опасности, не распространяющий горение, с низким дымо- и газовыделением, напряжением 0,66 кВ, сечением 5х6 мм² ВБШвнг(А)-LS</t>
  </si>
  <si>
    <t>Провод силовой установочный одножильный, с гибкой медной жилой, с изоляцией и оболочкой из ПВХ пластиката, напряжением 450/750 В, белый, сечением 1х16мм² ПуГВнг</t>
  </si>
  <si>
    <t>Провод силовой установочный одножильный, с гибкой медной жилой, с изоляцией и оболочкой из ПВХ пластиката, напряжением 450/750 В, белый, сечением 1х2,5мм² ПуГВнг</t>
  </si>
  <si>
    <t>Провод силовой установочный одножильный, с гибкой медной жилой, с изоляцией и оболочкой из ПВХ пластиката, напряжением 450/750 В, белый, сечением 1х4мм² ПуГВнг</t>
  </si>
  <si>
    <t>Провод силовой установочный одножильный, с гибкой медной жилой, с изоляцией и оболочкой из ПВХ пластиката, напряжением 450/750 В, белый, сечением 1х6 мм² ПуГВнг</t>
  </si>
  <si>
    <t>Провод силовой установочный одножильный, с гибкой медной жилой, с изоляцией и оболочкой из ПВХ пластиката, напряжением 450/750 В, желто-зелёный, сечением 1х10мм² ПуГВнг</t>
  </si>
  <si>
    <t>Провод силовой установочный одножильный, с гибкой медной жилой, с изоляцией и оболочкой из ПВХ пластиката, напряжением 450/750 В, желто-зелёный, сечением 1х16мм² ПуГВнг</t>
  </si>
  <si>
    <t>Провод силовой установочный одножильный, с гибкой медной жилой, с изоляцией и оболочкой из ПВХ пластиката, напряжением 450/750 В, желто-зелёный, сечением 1х6мм² ПуГВнг</t>
  </si>
  <si>
    <t>Р3-ЦПнг-LS 25 Металлорукав герметичный в ПВХ-изоляции с пониженным дымовыделением, с протяжкой, номинальный диаметр 25 мм</t>
  </si>
  <si>
    <t>ТУТнг-16/8 Трубка термоусаживаемая</t>
  </si>
  <si>
    <t>ТУТнг-2,0/1,0 Трубка термоусаживаемая</t>
  </si>
  <si>
    <t>ТУТнг-2,5/1,25 Трубка термоусаживаемая</t>
  </si>
  <si>
    <t>ТУТнг-2/1,25 Трубка термоусаживаемая</t>
  </si>
  <si>
    <t>ТУТнг-20/10 Трубка термоусаживаемая</t>
  </si>
  <si>
    <t>ТУТнг-3/1,5 Трубка термоусаживаемая</t>
  </si>
  <si>
    <t>ТУТнг-4/2 Трубка термоусаживаемая</t>
  </si>
  <si>
    <t>Оцинкованный болт ГОСТ Р ИСО 4014-2013 М8х30 класса прочности 8.8</t>
  </si>
  <si>
    <t>Гайка М8 СОЭМИ Н0115182000</t>
  </si>
  <si>
    <t>Шайба плоская усилен. M8 EKF shplus8</t>
  </si>
  <si>
    <t>5ПКТп(б)-1-25/50 нг-LS Муфта концевая для 5-ти жильного бронированного кабеля с пластмассовой изоляцией сечением 35 мм</t>
  </si>
  <si>
    <t>Русский Свет № N 52742624 От 27.05.2026</t>
  </si>
  <si>
    <t>Монтажник № N 799 От 27.05.2026</t>
  </si>
  <si>
    <t>Снабсибэлектро № 537 от 27.05.2026</t>
  </si>
  <si>
    <t>5ПКТп-1-16/25 нг-LS Муфта концевая для 5-ти жильного кабеля с пластмассовой изоляцией сечением 16-25 мм</t>
  </si>
  <si>
    <t>Кабель силовой, бронированный лентами, с медными многопроволочными круглыми жилами, с изоляцией и оболочкой из поливинилхлоридного пластиката пониженной пожарной опасности, не распространяющий горение, с низким дымо- и газовыделением, напряжением 0,66 кВ, сечением 5х35 мм² ВБШвнг(А)-LS</t>
  </si>
  <si>
    <t>Кабель силовой, бронированный лентами, с медными однопроволочными круглыми жилами, с изоляцией и оболочкой из поливинилхлоридного пластиката пониженной пожарной опасности, не распространяющий горение, с низким дымо- и газовыделением, напряжением 0,66 кВ, сечением 3х6 мм² ВБШвнг(А)-LS</t>
  </si>
  <si>
    <t>ТУТнг-30/15 Трубка термоусаживаемая</t>
  </si>
  <si>
    <t>ТУТнг-7/3,5 Трубка термоусаживаемая</t>
  </si>
  <si>
    <t>ТУТнг-40/20 Трубка термоусаживаемая</t>
  </si>
  <si>
    <t>ТУТнг-10/5 Трубка термоусаживаемая</t>
  </si>
  <si>
    <t>арт. 00591R Соединение на стык GM 25x17</t>
  </si>
  <si>
    <t>ДКС № 5/05.26 от 28.05.26</t>
  </si>
  <si>
    <t>Луис № б/н от 28.05.2026</t>
  </si>
  <si>
    <t>Альянс групп № б/н от 28.05.2026</t>
  </si>
  <si>
    <t>арт. 57945 Пружина постоянного давления роликовая ППД №3 (50шт./уп.)</t>
  </si>
  <si>
    <t>35112HDZ Лоток 150х100 L2000, горячеоцинкованный</t>
  </si>
  <si>
    <t>35513HDZ Крышка на лоток с заземлением осн.150 L2000, горячеоцинкованная</t>
  </si>
  <si>
    <t>BMM1015HDZ Скоба ВВМ-10 для вертикального монтажа осн.150 мм, горячеоцинкованная</t>
  </si>
  <si>
    <t>СМ441060 Анкер со шпилькой М10</t>
  </si>
  <si>
    <t>СМ100600 Гайка с насечкой, препятствующей откручиванию М6</t>
  </si>
  <si>
    <t>LP1000 Прижим кабельного лотка</t>
  </si>
  <si>
    <t>37563 Держатель кабеля TRC осн.150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</si>
</sst>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* #,##0.00&quot;    &quot;;\-* #,##0.00&quot;    &quot;;\ * \-#&quot;    &quot;;\ @\ "/>
    <numFmt numFmtId="165" formatCode="#,##0.00&quot; ₽&quot;"/>
  </numFmts>
  <fonts count="25" x14ac:knownFonts="1">
    <font>
      <sz val="11"/>
      <color rgb="FF000000"/>
      <name val="Calibri"/>
      <family val="2"/>
      <charset val="1"/>
    </font>
    <font>
      <sz val="10"/>
      <name val="Arial Cyr"/>
      <charset val="204"/>
    </font>
    <font>
      <sz val="10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0"/>
      <color rgb="FFFF0000"/>
      <name val="Calibri"/>
      <family val="2"/>
      <charset val="1"/>
    </font>
    <font>
      <b/>
      <sz val="14"/>
      <name val="Arial"/>
      <family val="2"/>
      <charset val="204"/>
    </font>
    <font>
      <sz val="11"/>
      <name val="Calibri"/>
      <family val="2"/>
      <charset val="1"/>
    </font>
    <font>
      <sz val="10"/>
      <name val="Calibri"/>
      <family val="2"/>
      <charset val="1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0"/>
      <name val="Times New Roman"/>
      <family val="1"/>
      <charset val="1"/>
    </font>
    <font>
      <b/>
      <sz val="11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sz val="11"/>
      <name val="Arial"/>
      <family val="2"/>
      <charset val="204"/>
    </font>
    <font>
      <sz val="10"/>
      <name val="ISOCPEUR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ISOCPEUR"/>
      <charset val="1"/>
    </font>
    <font>
      <sz val="11"/>
      <color rgb="FFC9211E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9DC3E6"/>
        <bgColor rgb="FFCCCCFF"/>
      </patternFill>
    </fill>
    <fill>
      <patternFill patternType="solid">
        <fgColor rgb="FFC5E0B4"/>
        <bgColor rgb="FFE2F0D9"/>
      </patternFill>
    </fill>
    <fill>
      <patternFill patternType="solid">
        <fgColor rgb="FFF2F2F2"/>
        <bgColor rgb="FFE7E6E6"/>
      </patternFill>
    </fill>
    <fill>
      <patternFill patternType="solid">
        <fgColor rgb="FFE7E6E6"/>
        <bgColor rgb="FFE2F0D9"/>
      </patternFill>
    </fill>
    <fill>
      <patternFill patternType="solid">
        <fgColor rgb="FFFFD428"/>
        <bgColor rgb="FFFFD966"/>
      </patternFill>
    </fill>
    <fill>
      <patternFill patternType="solid">
        <fgColor rgb="FFFBE5D6"/>
        <bgColor rgb="FFE7E6E6"/>
      </patternFill>
    </fill>
    <fill>
      <patternFill patternType="solid">
        <fgColor rgb="FFE2F0D9"/>
        <bgColor rgb="FFE7E6E6"/>
      </patternFill>
    </fill>
    <fill>
      <patternFill patternType="solid">
        <fgColor rgb="FFFFD966"/>
        <bgColor rgb="FFFFD428"/>
      </patternFill>
    </fill>
    <fill>
      <patternFill patternType="solid">
        <fgColor rgb="FFFFFF00"/>
        <bgColor rgb="FFFFD428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rgb="FF222A35"/>
      </right>
      <top style="medium">
        <color auto="1"/>
      </top>
      <bottom style="medium">
        <color auto="1"/>
      </bottom>
      <diagonal/>
    </border>
    <border>
      <left style="thin">
        <color rgb="FF222A35"/>
      </left>
      <right style="thin">
        <color rgb="FF222A35"/>
      </right>
      <top style="medium">
        <color auto="1"/>
      </top>
      <bottom style="medium">
        <color auto="1"/>
      </bottom>
      <diagonal/>
    </border>
    <border>
      <left style="thin">
        <color rgb="FF222A35"/>
      </left>
      <right/>
      <top style="medium">
        <color auto="1"/>
      </top>
      <bottom style="medium">
        <color auto="1"/>
      </bottom>
      <diagonal/>
    </border>
    <border>
      <left style="thin">
        <color rgb="FF222A35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222A35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24" fillId="0" borderId="0" applyBorder="0" applyProtection="0"/>
  </cellStyleXfs>
  <cellXfs count="78">
    <xf numFmtId="0" fontId="0" fillId="0" borderId="0" xfId="0"/>
    <xf numFmtId="0" fontId="12" fillId="3" borderId="7" xfId="0" applyFont="1" applyFill="1" applyBorder="1" applyAlignment="1" applyProtection="1">
      <alignment horizontal="center" vertical="center"/>
    </xf>
    <xf numFmtId="0" fontId="12" fillId="3" borderId="6" xfId="0" applyFont="1" applyFill="1" applyBorder="1" applyAlignment="1" applyProtection="1">
      <alignment horizontal="center" vertical="center"/>
    </xf>
    <xf numFmtId="0" fontId="8" fillId="3" borderId="6" xfId="0" applyFont="1" applyFill="1" applyBorder="1" applyAlignment="1" applyProtection="1">
      <alignment horizontal="center" vertical="center"/>
    </xf>
    <xf numFmtId="0" fontId="11" fillId="4" borderId="5" xfId="0" applyFont="1" applyFill="1" applyBorder="1" applyAlignment="1" applyProtection="1">
      <alignment horizontal="center" vertical="center" wrapText="1"/>
    </xf>
    <xf numFmtId="0" fontId="11" fillId="3" borderId="5" xfId="0" applyFont="1" applyFill="1" applyBorder="1" applyAlignment="1" applyProtection="1">
      <alignment horizontal="center" vertical="center" wrapText="1"/>
    </xf>
    <xf numFmtId="0" fontId="10" fillId="3" borderId="4" xfId="0" applyFont="1" applyFill="1" applyBorder="1" applyAlignment="1" applyProtection="1">
      <alignment horizontal="center" vertical="center" wrapText="1"/>
    </xf>
    <xf numFmtId="0" fontId="8" fillId="3" borderId="3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0" fillId="0" borderId="0" xfId="0" applyAlignment="1" applyProtection="1"/>
    <xf numFmtId="0" fontId="0" fillId="0" borderId="0" xfId="0" applyAlignment="1" applyProtection="1">
      <alignment vertical="top"/>
    </xf>
    <xf numFmtId="0" fontId="0" fillId="0" borderId="0" xfId="0" applyAlignment="1" applyProtection="1">
      <alignment horizontal="center" vertical="center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wrapText="1"/>
    </xf>
    <xf numFmtId="0" fontId="3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top" wrapText="1"/>
    </xf>
    <xf numFmtId="0" fontId="6" fillId="0" borderId="0" xfId="0" applyFont="1" applyAlignment="1" applyProtection="1"/>
    <xf numFmtId="0" fontId="6" fillId="0" borderId="0" xfId="0" applyFont="1" applyAlignment="1" applyProtection="1">
      <alignment vertical="top"/>
    </xf>
    <xf numFmtId="0" fontId="6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/>
    </xf>
    <xf numFmtId="0" fontId="6" fillId="0" borderId="0" xfId="0" applyFont="1" applyAlignment="1" applyProtection="1">
      <alignment wrapText="1"/>
    </xf>
    <xf numFmtId="0" fontId="8" fillId="5" borderId="1" xfId="0" applyFont="1" applyFill="1" applyBorder="1" applyAlignment="1" applyProtection="1">
      <alignment horizontal="center" vertical="top" wrapText="1"/>
    </xf>
    <xf numFmtId="0" fontId="8" fillId="3" borderId="3" xfId="0" applyFont="1" applyFill="1" applyBorder="1" applyAlignment="1" applyProtection="1">
      <alignment horizontal="center" vertical="top" wrapText="1"/>
    </xf>
    <xf numFmtId="0" fontId="8" fillId="5" borderId="4" xfId="0" applyFont="1" applyFill="1" applyBorder="1" applyAlignment="1" applyProtection="1">
      <alignment horizontal="center" vertical="top" wrapText="1"/>
    </xf>
    <xf numFmtId="0" fontId="6" fillId="6" borderId="0" xfId="0" applyFont="1" applyFill="1" applyAlignment="1" applyProtection="1"/>
    <xf numFmtId="0" fontId="14" fillId="2" borderId="8" xfId="0" applyFont="1" applyFill="1" applyBorder="1" applyAlignment="1" applyProtection="1">
      <alignment horizontal="center" vertical="center" wrapText="1"/>
    </xf>
    <xf numFmtId="0" fontId="14" fillId="2" borderId="9" xfId="0" applyFont="1" applyFill="1" applyBorder="1" applyAlignment="1" applyProtection="1">
      <alignment horizontal="center" vertical="top" wrapText="1"/>
    </xf>
    <xf numFmtId="0" fontId="14" fillId="2" borderId="10" xfId="0" applyFont="1" applyFill="1" applyBorder="1" applyAlignment="1" applyProtection="1">
      <alignment horizontal="center" vertical="center" wrapText="1"/>
    </xf>
    <xf numFmtId="0" fontId="14" fillId="2" borderId="11" xfId="0" applyFont="1" applyFill="1" applyBorder="1" applyAlignment="1" applyProtection="1">
      <alignment horizontal="center" vertical="center" wrapText="1"/>
    </xf>
    <xf numFmtId="0" fontId="14" fillId="2" borderId="9" xfId="0" applyFont="1" applyFill="1" applyBorder="1" applyAlignment="1" applyProtection="1">
      <alignment horizontal="center" vertical="center" wrapText="1"/>
    </xf>
    <xf numFmtId="0" fontId="14" fillId="3" borderId="11" xfId="0" applyFont="1" applyFill="1" applyBorder="1" applyAlignment="1" applyProtection="1">
      <alignment horizontal="center" vertical="center" wrapText="1"/>
    </xf>
    <xf numFmtId="0" fontId="14" fillId="3" borderId="9" xfId="0" applyFont="1" applyFill="1" applyBorder="1" applyAlignment="1" applyProtection="1">
      <alignment horizontal="center" vertical="center" wrapText="1"/>
    </xf>
    <xf numFmtId="0" fontId="14" fillId="2" borderId="12" xfId="0" applyFont="1" applyFill="1" applyBorder="1" applyAlignment="1" applyProtection="1">
      <alignment horizontal="center" vertical="center" wrapText="1"/>
    </xf>
    <xf numFmtId="0" fontId="15" fillId="2" borderId="5" xfId="0" applyFont="1" applyFill="1" applyBorder="1" applyAlignment="1" applyProtection="1">
      <alignment horizontal="center" vertical="center"/>
    </xf>
    <xf numFmtId="0" fontId="16" fillId="2" borderId="0" xfId="0" applyFont="1" applyFill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</xf>
    <xf numFmtId="0" fontId="17" fillId="0" borderId="5" xfId="0" applyFont="1" applyBorder="1" applyAlignment="1" applyProtection="1">
      <alignment vertical="top" wrapText="1"/>
    </xf>
    <xf numFmtId="0" fontId="17" fillId="0" borderId="5" xfId="0" applyFont="1" applyBorder="1" applyAlignment="1" applyProtection="1">
      <alignment horizontal="center" vertical="center" wrapText="1"/>
    </xf>
    <xf numFmtId="0" fontId="17" fillId="7" borderId="5" xfId="0" applyFont="1" applyFill="1" applyBorder="1" applyAlignment="1" applyProtection="1">
      <alignment horizontal="center" wrapText="1"/>
    </xf>
    <xf numFmtId="0" fontId="17" fillId="0" borderId="5" xfId="0" applyFont="1" applyBorder="1" applyAlignment="1" applyProtection="1">
      <alignment horizontal="center" wrapText="1"/>
    </xf>
    <xf numFmtId="0" fontId="14" fillId="0" borderId="5" xfId="0" applyFont="1" applyBorder="1" applyAlignment="1" applyProtection="1">
      <alignment horizontal="left" vertical="center" wrapText="1"/>
    </xf>
    <xf numFmtId="165" fontId="14" fillId="3" borderId="5" xfId="0" applyNumberFormat="1" applyFont="1" applyFill="1" applyBorder="1" applyAlignment="1" applyProtection="1">
      <alignment horizontal="left" vertical="center" wrapText="1"/>
    </xf>
    <xf numFmtId="165" fontId="14" fillId="0" borderId="5" xfId="0" applyNumberFormat="1" applyFont="1" applyBorder="1" applyAlignment="1" applyProtection="1">
      <alignment horizontal="left" vertical="center" wrapText="1"/>
    </xf>
    <xf numFmtId="165" fontId="8" fillId="3" borderId="5" xfId="0" applyNumberFormat="1" applyFont="1" applyFill="1" applyBorder="1" applyAlignment="1" applyProtection="1">
      <alignment horizontal="left" vertical="center" wrapText="1"/>
    </xf>
    <xf numFmtId="165" fontId="13" fillId="0" borderId="5" xfId="0" applyNumberFormat="1" applyFont="1" applyBorder="1" applyAlignment="1" applyProtection="1">
      <alignment horizontal="left" vertical="center" wrapText="1"/>
    </xf>
    <xf numFmtId="165" fontId="11" fillId="3" borderId="5" xfId="0" applyNumberFormat="1" applyFont="1" applyFill="1" applyBorder="1" applyAlignment="1" applyProtection="1">
      <alignment horizontal="center" vertical="center" wrapText="1"/>
    </xf>
    <xf numFmtId="2" fontId="11" fillId="8" borderId="5" xfId="2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left"/>
    </xf>
    <xf numFmtId="0" fontId="6" fillId="0" borderId="13" xfId="0" applyFont="1" applyBorder="1" applyAlignment="1" applyProtection="1">
      <alignment horizontal="center" vertical="center"/>
    </xf>
    <xf numFmtId="0" fontId="0" fillId="0" borderId="5" xfId="0" applyBorder="1" applyAlignment="1" applyProtection="1">
      <alignment wrapText="1"/>
    </xf>
    <xf numFmtId="0" fontId="17" fillId="0" borderId="5" xfId="0" applyFont="1" applyBorder="1" applyAlignment="1" applyProtection="1">
      <alignment horizontal="center" wrapText="1"/>
    </xf>
    <xf numFmtId="0" fontId="6" fillId="9" borderId="5" xfId="0" applyFont="1" applyFill="1" applyBorder="1" applyAlignment="1" applyProtection="1">
      <alignment horizontal="center" vertical="center"/>
    </xf>
    <xf numFmtId="0" fontId="0" fillId="0" borderId="5" xfId="0" applyBorder="1" applyAlignment="1" applyProtection="1"/>
    <xf numFmtId="165" fontId="18" fillId="0" borderId="5" xfId="0" applyNumberFormat="1" applyFont="1" applyBorder="1" applyAlignment="1" applyProtection="1">
      <alignment horizontal="left" vertical="center" wrapText="1"/>
    </xf>
    <xf numFmtId="0" fontId="6" fillId="9" borderId="13" xfId="0" applyFont="1" applyFill="1" applyBorder="1" applyAlignment="1" applyProtection="1">
      <alignment horizontal="center" vertical="center"/>
    </xf>
    <xf numFmtId="0" fontId="17" fillId="2" borderId="5" xfId="0" applyFont="1" applyFill="1" applyBorder="1" applyAlignment="1" applyProtection="1">
      <alignment vertical="top" wrapText="1"/>
    </xf>
    <xf numFmtId="0" fontId="17" fillId="2" borderId="5" xfId="0" applyFont="1" applyFill="1" applyBorder="1" applyAlignment="1" applyProtection="1">
      <alignment horizontal="center" vertical="center" wrapText="1"/>
    </xf>
    <xf numFmtId="0" fontId="17" fillId="2" borderId="5" xfId="0" applyFont="1" applyFill="1" applyBorder="1" applyAlignment="1" applyProtection="1">
      <alignment horizontal="center" wrapText="1"/>
    </xf>
    <xf numFmtId="0" fontId="14" fillId="2" borderId="5" xfId="0" applyFont="1" applyFill="1" applyBorder="1" applyAlignment="1" applyProtection="1">
      <alignment horizontal="left" vertical="center" wrapText="1"/>
    </xf>
    <xf numFmtId="165" fontId="19" fillId="0" borderId="5" xfId="0" applyNumberFormat="1" applyFont="1" applyBorder="1" applyAlignment="1" applyProtection="1">
      <alignment horizontal="left" vertical="center" wrapText="1"/>
    </xf>
    <xf numFmtId="0" fontId="17" fillId="0" borderId="5" xfId="0" applyFont="1" applyBorder="1" applyAlignment="1" applyProtection="1">
      <alignment horizontal="left" vertical="top" wrapText="1"/>
    </xf>
    <xf numFmtId="0" fontId="0" fillId="0" borderId="5" xfId="0" applyFont="1" applyBorder="1" applyAlignment="1" applyProtection="1"/>
    <xf numFmtId="0" fontId="20" fillId="0" borderId="5" xfId="0" applyFont="1" applyBorder="1" applyAlignment="1" applyProtection="1">
      <alignment horizontal="center" vertical="top" wrapText="1"/>
    </xf>
    <xf numFmtId="0" fontId="20" fillId="0" borderId="5" xfId="0" applyFont="1" applyBorder="1" applyAlignment="1" applyProtection="1">
      <alignment horizontal="center" vertical="top"/>
    </xf>
    <xf numFmtId="0" fontId="20" fillId="10" borderId="5" xfId="0" applyFont="1" applyFill="1" applyBorder="1" applyAlignment="1" applyProtection="1">
      <alignment horizontal="center" vertical="top" wrapText="1"/>
    </xf>
    <xf numFmtId="1" fontId="20" fillId="0" borderId="5" xfId="0" applyNumberFormat="1" applyFont="1" applyBorder="1" applyAlignment="1" applyProtection="1">
      <alignment horizontal="center" vertical="top"/>
    </xf>
    <xf numFmtId="0" fontId="21" fillId="0" borderId="5" xfId="0" applyFont="1" applyBorder="1" applyAlignment="1" applyProtection="1">
      <alignment horizontal="left" vertical="top" wrapText="1"/>
    </xf>
    <xf numFmtId="1" fontId="14" fillId="0" borderId="5" xfId="0" applyNumberFormat="1" applyFont="1" applyBorder="1" applyAlignment="1" applyProtection="1">
      <alignment horizontal="center" vertical="top"/>
    </xf>
    <xf numFmtId="165" fontId="16" fillId="0" borderId="5" xfId="0" applyNumberFormat="1" applyFont="1" applyBorder="1" applyAlignment="1" applyProtection="1">
      <alignment horizontal="left" vertical="center" wrapText="1"/>
    </xf>
    <xf numFmtId="0" fontId="22" fillId="0" borderId="0" xfId="0" applyFont="1" applyAlignment="1" applyProtection="1"/>
    <xf numFmtId="2" fontId="20" fillId="0" borderId="5" xfId="0" applyNumberFormat="1" applyFont="1" applyBorder="1" applyAlignment="1" applyProtection="1">
      <alignment horizontal="center" vertical="top"/>
    </xf>
    <xf numFmtId="0" fontId="20" fillId="11" borderId="5" xfId="0" applyFont="1" applyFill="1" applyBorder="1" applyAlignment="1" applyProtection="1">
      <alignment horizontal="center" vertical="top" wrapText="1"/>
    </xf>
    <xf numFmtId="165" fontId="23" fillId="0" borderId="0" xfId="0" applyNumberFormat="1" applyFont="1" applyAlignment="1" applyProtection="1"/>
  </cellXfs>
  <cellStyles count="3">
    <cellStyle name="Обычный" xfId="0" builtinId="0"/>
    <cellStyle name="Обычный 2" xfId="1"/>
    <cellStyle name="Финансовый 2" xfId="2"/>
  </cellStyles>
  <dxfs count="46">
    <dxf>
      <font>
        <color rgb="FF9C0006"/>
      </font>
      <fill>
        <patternFill>
          <bgColor rgb="FFFFC7CE"/>
        </patternFill>
      </fill>
    </dxf>
    <dxf>
      <font>
        <sz val="11"/>
        <color rgb="FF000000"/>
        <name val="Calibri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z val="11"/>
        <color rgb="FF000000"/>
        <name val="Calibri"/>
      </font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2F2F2"/>
      <rgbColor rgb="FFE7E6E6"/>
      <rgbColor rgb="FF660066"/>
      <rgbColor rgb="FFFF8080"/>
      <rgbColor rgb="FF0066CC"/>
      <rgbColor rgb="FFCCCCFF"/>
      <rgbColor rgb="FF000080"/>
      <rgbColor rgb="FFFF00FF"/>
      <rgbColor rgb="FFFFD966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BE5D6"/>
      <rgbColor rgb="FF9DC3E6"/>
      <rgbColor rgb="FFFF99CC"/>
      <rgbColor rgb="FFCC99FF"/>
      <rgbColor rgb="FFFFC7CE"/>
      <rgbColor rgb="FF3366FF"/>
      <rgbColor rgb="FF33CCCC"/>
      <rgbColor rgb="FF99CC00"/>
      <rgbColor rgb="FFFFD428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222A3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2F0D9"/>
  </sheetPr>
  <dimension ref="A3:XFD312"/>
  <sheetViews>
    <sheetView tabSelected="1" topLeftCell="A4" zoomScale="95" zoomScaleNormal="95" workbookViewId="0">
      <pane xSplit="4" ySplit="6" topLeftCell="W10" activePane="bottomRight" state="frozen"/>
      <selection activeCell="A4" sqref="A4"/>
      <selection pane="topRight" activeCell="E4" sqref="E4"/>
      <selection pane="bottomLeft" activeCell="A199" sqref="A199"/>
      <selection pane="bottomRight" activeCell="F5" sqref="F1:AD1048576"/>
    </sheetView>
  </sheetViews>
  <sheetFormatPr defaultColWidth="8.7109375" defaultRowHeight="15" outlineLevelCol="1" x14ac:dyDescent="0.25"/>
  <cols>
    <col min="1" max="1" width="7.28515625" style="13" customWidth="1"/>
    <col min="2" max="2" width="66.5703125" style="14" customWidth="1"/>
    <col min="3" max="3" width="15.42578125" style="15" hidden="1" customWidth="1"/>
    <col min="4" max="4" width="14.28515625" style="16" customWidth="1"/>
    <col min="5" max="5" width="16" style="16" customWidth="1"/>
    <col min="6" max="6" width="22.85546875" style="13" hidden="1" customWidth="1"/>
    <col min="7" max="7" width="19" style="13" hidden="1" customWidth="1" outlineLevel="1"/>
    <col min="8" max="8" width="18.42578125" style="13" hidden="1" customWidth="1" outlineLevel="1"/>
    <col min="9" max="10" width="17.5703125" style="13" hidden="1" customWidth="1" outlineLevel="1"/>
    <col min="11" max="11" width="17.85546875" style="13" hidden="1" customWidth="1"/>
    <col min="12" max="12" width="23.7109375" style="13" hidden="1" customWidth="1"/>
    <col min="13" max="13" width="22.7109375" style="13" hidden="1" customWidth="1" outlineLevel="1"/>
    <col min="14" max="14" width="18.42578125" style="13" hidden="1" customWidth="1" outlineLevel="1"/>
    <col min="15" max="15" width="17.140625" style="13" hidden="1" customWidth="1" outlineLevel="1"/>
    <col min="16" max="16" width="16.28515625" style="13" hidden="1" customWidth="1" outlineLevel="1"/>
    <col min="17" max="17" width="17.85546875" style="13" hidden="1" customWidth="1"/>
    <col min="18" max="18" width="23.42578125" style="13" hidden="1" customWidth="1"/>
    <col min="19" max="19" width="22.7109375" style="13" hidden="1" customWidth="1" outlineLevel="1"/>
    <col min="20" max="20" width="18.42578125" style="13" hidden="1" customWidth="1" outlineLevel="1"/>
    <col min="21" max="22" width="17.28515625" style="13" hidden="1" customWidth="1" outlineLevel="1"/>
    <col min="23" max="23" width="19.7109375" style="13" hidden="1" customWidth="1"/>
    <col min="24" max="24" width="22.7109375" style="13" hidden="1" customWidth="1"/>
    <col min="25" max="25" width="40.140625" style="17" hidden="1" customWidth="1"/>
    <col min="26" max="26" width="15.42578125" style="13" hidden="1" customWidth="1"/>
    <col min="27" max="27" width="15.140625" style="13" hidden="1" customWidth="1"/>
    <col min="28" max="28" width="16.28515625" style="13" hidden="1" customWidth="1"/>
    <col min="29" max="30" width="0" hidden="1" customWidth="1"/>
    <col min="16381" max="16384" width="8.28515625" customWidth="1"/>
  </cols>
  <sheetData>
    <row r="3" spans="1:40 16379:16384" ht="17.25" customHeight="1" x14ac:dyDescent="0.25">
      <c r="A3" s="18"/>
      <c r="B3" s="18"/>
      <c r="C3" s="19"/>
      <c r="D3" s="20"/>
      <c r="E3" s="20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4" spans="1:40 16379:16384" s="21" customFormat="1" ht="28.5" customHeigh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AN4" s="13"/>
      <c r="XEY4"/>
      <c r="XEZ4"/>
      <c r="XFA4"/>
      <c r="XFB4"/>
      <c r="XFC4" s="13"/>
      <c r="XFD4" s="13"/>
    </row>
    <row r="5" spans="1:40 16379:16384" s="21" customFormat="1" x14ac:dyDescent="0.25">
      <c r="B5" s="22"/>
      <c r="C5" s="23"/>
      <c r="D5" s="24"/>
      <c r="E5" s="24"/>
      <c r="Y5" s="25"/>
      <c r="AN5" s="13"/>
      <c r="XEY5"/>
      <c r="XEZ5"/>
      <c r="XFA5"/>
      <c r="XFB5"/>
      <c r="XFC5" s="13"/>
      <c r="XFD5" s="13"/>
    </row>
    <row r="6" spans="1:40 16379:16384" s="21" customFormat="1" ht="27" customHeight="1" x14ac:dyDescent="0.25">
      <c r="A6" s="11" t="s">
        <v>1</v>
      </c>
      <c r="B6" s="10" t="s">
        <v>2</v>
      </c>
      <c r="C6" s="9" t="s">
        <v>3</v>
      </c>
      <c r="D6" s="8" t="s">
        <v>4</v>
      </c>
      <c r="E6" s="8" t="s">
        <v>5</v>
      </c>
      <c r="F6" s="7" t="s">
        <v>6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6" t="s">
        <v>7</v>
      </c>
      <c r="Y6" s="9" t="s">
        <v>8</v>
      </c>
      <c r="Z6" s="5" t="s">
        <v>9</v>
      </c>
      <c r="AA6" s="4" t="s">
        <v>10</v>
      </c>
      <c r="AB6" s="5" t="s">
        <v>11</v>
      </c>
      <c r="AN6" s="13"/>
      <c r="XEY6"/>
      <c r="XEZ6"/>
      <c r="XFA6"/>
      <c r="XFB6"/>
      <c r="XFC6" s="13"/>
      <c r="XFD6" s="13"/>
    </row>
    <row r="7" spans="1:40 16379:16384" s="21" customFormat="1" ht="30.75" customHeight="1" x14ac:dyDescent="0.25">
      <c r="A7" s="11"/>
      <c r="B7" s="10"/>
      <c r="C7" s="9"/>
      <c r="D7" s="8"/>
      <c r="E7" s="8"/>
      <c r="F7" s="3" t="s">
        <v>12</v>
      </c>
      <c r="G7" s="3"/>
      <c r="H7" s="3"/>
      <c r="I7" s="3"/>
      <c r="J7" s="3"/>
      <c r="K7" s="3"/>
      <c r="L7" s="2" t="s">
        <v>13</v>
      </c>
      <c r="M7" s="2"/>
      <c r="N7" s="2"/>
      <c r="O7" s="2"/>
      <c r="P7" s="2"/>
      <c r="Q7" s="2"/>
      <c r="R7" s="1" t="s">
        <v>14</v>
      </c>
      <c r="S7" s="1"/>
      <c r="T7" s="1"/>
      <c r="U7" s="1"/>
      <c r="V7" s="1"/>
      <c r="W7" s="1"/>
      <c r="X7" s="6"/>
      <c r="Y7" s="9"/>
      <c r="Z7" s="5"/>
      <c r="AA7" s="4"/>
      <c r="AB7" s="5"/>
      <c r="AN7" s="13"/>
      <c r="XEY7"/>
      <c r="XEZ7"/>
      <c r="XFA7"/>
      <c r="XFB7"/>
      <c r="XFC7" s="13"/>
      <c r="XFD7" s="13"/>
    </row>
    <row r="8" spans="1:40 16379:16384" s="29" customFormat="1" ht="82.5" customHeight="1" x14ac:dyDescent="0.25">
      <c r="A8" s="11"/>
      <c r="B8" s="10"/>
      <c r="C8" s="9"/>
      <c r="D8" s="8"/>
      <c r="E8" s="8"/>
      <c r="F8" s="26" t="s">
        <v>15</v>
      </c>
      <c r="G8" s="26" t="s">
        <v>16</v>
      </c>
      <c r="H8" s="27" t="s">
        <v>17</v>
      </c>
      <c r="I8" s="28" t="s">
        <v>18</v>
      </c>
      <c r="J8" s="28" t="s">
        <v>19</v>
      </c>
      <c r="K8" s="28" t="s">
        <v>20</v>
      </c>
      <c r="L8" s="26" t="s">
        <v>15</v>
      </c>
      <c r="M8" s="26" t="s">
        <v>16</v>
      </c>
      <c r="N8" s="27" t="s">
        <v>21</v>
      </c>
      <c r="O8" s="28" t="s">
        <v>18</v>
      </c>
      <c r="P8" s="28" t="s">
        <v>19</v>
      </c>
      <c r="Q8" s="28" t="s">
        <v>20</v>
      </c>
      <c r="R8" s="26" t="s">
        <v>15</v>
      </c>
      <c r="S8" s="26" t="s">
        <v>16</v>
      </c>
      <c r="T8" s="27" t="s">
        <v>21</v>
      </c>
      <c r="U8" s="28" t="s">
        <v>18</v>
      </c>
      <c r="V8" s="28" t="s">
        <v>19</v>
      </c>
      <c r="W8" s="28" t="s">
        <v>20</v>
      </c>
      <c r="X8" s="6"/>
      <c r="Y8" s="9"/>
      <c r="Z8" s="5"/>
      <c r="AA8" s="4"/>
      <c r="AB8" s="5"/>
      <c r="AC8" s="21"/>
      <c r="AN8" s="13"/>
      <c r="XEY8"/>
      <c r="XEZ8"/>
      <c r="XFA8"/>
      <c r="XFB8"/>
      <c r="XFC8" s="13"/>
      <c r="XFD8" s="13"/>
    </row>
    <row r="9" spans="1:40 16379:16384" s="39" customFormat="1" ht="15.75" x14ac:dyDescent="0.25">
      <c r="A9" s="30">
        <v>1</v>
      </c>
      <c r="B9" s="31">
        <v>2</v>
      </c>
      <c r="C9" s="32"/>
      <c r="D9" s="32">
        <v>3</v>
      </c>
      <c r="E9" s="32">
        <v>4</v>
      </c>
      <c r="F9" s="33">
        <v>5</v>
      </c>
      <c r="G9" s="34">
        <v>6</v>
      </c>
      <c r="H9" s="35">
        <v>7</v>
      </c>
      <c r="I9" s="34">
        <v>8</v>
      </c>
      <c r="J9" s="33">
        <v>9</v>
      </c>
      <c r="K9" s="34">
        <v>10</v>
      </c>
      <c r="L9" s="33">
        <v>11</v>
      </c>
      <c r="M9" s="34">
        <v>12</v>
      </c>
      <c r="N9" s="36">
        <v>13</v>
      </c>
      <c r="O9" s="33">
        <v>14</v>
      </c>
      <c r="P9" s="34">
        <v>15</v>
      </c>
      <c r="Q9" s="34">
        <v>16</v>
      </c>
      <c r="R9" s="33">
        <v>17</v>
      </c>
      <c r="S9" s="34">
        <v>18</v>
      </c>
      <c r="T9" s="36">
        <v>19</v>
      </c>
      <c r="U9" s="33">
        <v>20</v>
      </c>
      <c r="V9" s="34">
        <v>21</v>
      </c>
      <c r="W9" s="34">
        <v>22</v>
      </c>
      <c r="X9" s="33">
        <v>29</v>
      </c>
      <c r="Y9" s="37">
        <v>50</v>
      </c>
      <c r="Z9" s="38"/>
      <c r="AA9" s="38"/>
      <c r="AB9" s="38"/>
      <c r="AN9" s="13"/>
      <c r="XEY9"/>
      <c r="XEZ9"/>
      <c r="XFA9"/>
      <c r="XFB9"/>
      <c r="XFC9" s="13"/>
      <c r="XFD9" s="13"/>
    </row>
    <row r="10" spans="1:40 16379:16384" s="52" customFormat="1" ht="25.5" x14ac:dyDescent="0.25">
      <c r="A10" s="40">
        <v>1</v>
      </c>
      <c r="B10" s="41" t="s">
        <v>22</v>
      </c>
      <c r="C10" s="42" t="s">
        <v>23</v>
      </c>
      <c r="D10" s="43" t="s">
        <v>24</v>
      </c>
      <c r="E10" s="44">
        <v>117</v>
      </c>
      <c r="F10" s="45" t="s">
        <v>25</v>
      </c>
      <c r="G10" s="45" t="s">
        <v>26</v>
      </c>
      <c r="H10" s="46">
        <v>99.74</v>
      </c>
      <c r="I10" s="45" t="s">
        <v>27</v>
      </c>
      <c r="J10" s="47">
        <f t="shared" ref="J10:J41" si="0">H10</f>
        <v>99.74</v>
      </c>
      <c r="K10" s="47">
        <f t="shared" ref="K10:K73" si="1">J10*E10</f>
        <v>11669.58</v>
      </c>
      <c r="L10" s="45" t="s">
        <v>28</v>
      </c>
      <c r="M10" s="45" t="s">
        <v>26</v>
      </c>
      <c r="N10" s="46">
        <v>99.74</v>
      </c>
      <c r="O10" s="45" t="s">
        <v>27</v>
      </c>
      <c r="P10" s="47">
        <f t="shared" ref="P10:P41" si="2">N10</f>
        <v>99.74</v>
      </c>
      <c r="Q10" s="47">
        <f t="shared" ref="Q10:Q73" si="3">E10*P10</f>
        <v>11669.58</v>
      </c>
      <c r="R10" s="45" t="s">
        <v>29</v>
      </c>
      <c r="S10" s="45" t="s">
        <v>26</v>
      </c>
      <c r="T10" s="46">
        <v>99.74</v>
      </c>
      <c r="U10" s="45" t="s">
        <v>27</v>
      </c>
      <c r="V10" s="47">
        <f t="shared" ref="V10:V73" si="4">T10</f>
        <v>99.74</v>
      </c>
      <c r="W10" s="47">
        <f t="shared" ref="W10:W73" si="5">V10*E10</f>
        <v>11669.58</v>
      </c>
      <c r="X10" s="48">
        <f t="shared" ref="X10:X73" si="6">MIN(H10,N10,T10)</f>
        <v>99.74</v>
      </c>
      <c r="Y10" s="49"/>
      <c r="Z10" s="50">
        <f t="shared" ref="Z10:Z73" si="7">AVERAGE(H10,N10,T10)</f>
        <v>99.74</v>
      </c>
      <c r="AA10" s="51">
        <f t="shared" ref="AA10:AA73" si="8">X10*100/Z10-100</f>
        <v>0</v>
      </c>
      <c r="AB10" s="50">
        <f t="shared" ref="AB10:AB73" si="9">X10*E10</f>
        <v>11669.58</v>
      </c>
      <c r="AN10" s="13"/>
      <c r="XEY10"/>
      <c r="XEZ10"/>
      <c r="XFA10"/>
      <c r="XFB10"/>
      <c r="XFC10" s="13"/>
      <c r="XFD10" s="13"/>
    </row>
    <row r="11" spans="1:40 16379:16384" ht="25.5" x14ac:dyDescent="0.25">
      <c r="A11" s="53">
        <v>2</v>
      </c>
      <c r="B11" s="41" t="s">
        <v>30</v>
      </c>
      <c r="C11" s="42" t="s">
        <v>23</v>
      </c>
      <c r="D11" s="44" t="s">
        <v>24</v>
      </c>
      <c r="E11" s="44">
        <v>474</v>
      </c>
      <c r="F11" s="45" t="s">
        <v>25</v>
      </c>
      <c r="G11" s="45" t="s">
        <v>26</v>
      </c>
      <c r="H11" s="46">
        <v>174.78</v>
      </c>
      <c r="I11" s="45" t="s">
        <v>27</v>
      </c>
      <c r="J11" s="47">
        <f t="shared" si="0"/>
        <v>174.78</v>
      </c>
      <c r="K11" s="47">
        <f t="shared" si="1"/>
        <v>82845.72</v>
      </c>
      <c r="L11" s="45" t="s">
        <v>28</v>
      </c>
      <c r="M11" s="45" t="s">
        <v>26</v>
      </c>
      <c r="N11" s="46">
        <v>174.78</v>
      </c>
      <c r="O11" s="45" t="s">
        <v>27</v>
      </c>
      <c r="P11" s="47">
        <f t="shared" si="2"/>
        <v>174.78</v>
      </c>
      <c r="Q11" s="47">
        <f t="shared" si="3"/>
        <v>82845.72</v>
      </c>
      <c r="R11" s="45" t="s">
        <v>29</v>
      </c>
      <c r="S11" s="45" t="s">
        <v>26</v>
      </c>
      <c r="T11" s="46">
        <v>174.78</v>
      </c>
      <c r="U11" s="45" t="s">
        <v>27</v>
      </c>
      <c r="V11" s="47">
        <f t="shared" si="4"/>
        <v>174.78</v>
      </c>
      <c r="W11" s="47">
        <f t="shared" si="5"/>
        <v>82845.72</v>
      </c>
      <c r="X11" s="48">
        <f t="shared" si="6"/>
        <v>174.78</v>
      </c>
      <c r="Y11" s="49"/>
      <c r="Z11" s="50">
        <f t="shared" si="7"/>
        <v>174.78</v>
      </c>
      <c r="AA11" s="51">
        <f t="shared" si="8"/>
        <v>0</v>
      </c>
      <c r="AB11" s="50">
        <f t="shared" si="9"/>
        <v>82845.72</v>
      </c>
      <c r="AC11" s="52"/>
    </row>
    <row r="12" spans="1:40 16379:16384" ht="25.5" x14ac:dyDescent="0.25">
      <c r="A12" s="40">
        <v>3</v>
      </c>
      <c r="B12" s="41" t="s">
        <v>31</v>
      </c>
      <c r="C12" s="42" t="s">
        <v>23</v>
      </c>
      <c r="D12" s="44" t="s">
        <v>32</v>
      </c>
      <c r="E12" s="44">
        <v>27</v>
      </c>
      <c r="F12" s="45" t="s">
        <v>25</v>
      </c>
      <c r="G12" s="45" t="s">
        <v>26</v>
      </c>
      <c r="H12" s="46">
        <v>857.81</v>
      </c>
      <c r="I12" s="45" t="s">
        <v>27</v>
      </c>
      <c r="J12" s="47">
        <f t="shared" si="0"/>
        <v>857.81</v>
      </c>
      <c r="K12" s="47">
        <f t="shared" si="1"/>
        <v>23160.87</v>
      </c>
      <c r="L12" s="45" t="s">
        <v>28</v>
      </c>
      <c r="M12" s="45" t="s">
        <v>26</v>
      </c>
      <c r="N12" s="46">
        <v>857.81</v>
      </c>
      <c r="O12" s="45" t="s">
        <v>27</v>
      </c>
      <c r="P12" s="47">
        <f t="shared" si="2"/>
        <v>857.81</v>
      </c>
      <c r="Q12" s="47">
        <f t="shared" si="3"/>
        <v>23160.87</v>
      </c>
      <c r="R12" s="45" t="s">
        <v>29</v>
      </c>
      <c r="S12" s="45" t="s">
        <v>26</v>
      </c>
      <c r="T12" s="46">
        <v>857.8</v>
      </c>
      <c r="U12" s="45" t="s">
        <v>27</v>
      </c>
      <c r="V12" s="47">
        <f t="shared" si="4"/>
        <v>857.8</v>
      </c>
      <c r="W12" s="47">
        <f t="shared" si="5"/>
        <v>23160.6</v>
      </c>
      <c r="X12" s="48">
        <f t="shared" si="6"/>
        <v>857.8</v>
      </c>
      <c r="Y12" s="49"/>
      <c r="Z12" s="50">
        <f t="shared" si="7"/>
        <v>857.80666666666673</v>
      </c>
      <c r="AA12" s="51">
        <f t="shared" si="8"/>
        <v>-7.7717589822157152E-4</v>
      </c>
      <c r="AB12" s="50">
        <f t="shared" si="9"/>
        <v>23160.6</v>
      </c>
    </row>
    <row r="13" spans="1:40 16379:16384" ht="25.5" x14ac:dyDescent="0.25">
      <c r="A13" s="53">
        <v>4</v>
      </c>
      <c r="B13" s="41" t="s">
        <v>33</v>
      </c>
      <c r="C13" s="42" t="s">
        <v>23</v>
      </c>
      <c r="D13" s="44" t="s">
        <v>32</v>
      </c>
      <c r="E13" s="44">
        <v>67</v>
      </c>
      <c r="F13" s="45" t="s">
        <v>25</v>
      </c>
      <c r="G13" s="45" t="s">
        <v>26</v>
      </c>
      <c r="H13" s="46">
        <v>791.24</v>
      </c>
      <c r="I13" s="45" t="s">
        <v>27</v>
      </c>
      <c r="J13" s="47">
        <f t="shared" si="0"/>
        <v>791.24</v>
      </c>
      <c r="K13" s="47">
        <f t="shared" si="1"/>
        <v>53013.08</v>
      </c>
      <c r="L13" s="45" t="s">
        <v>28</v>
      </c>
      <c r="M13" s="45" t="s">
        <v>26</v>
      </c>
      <c r="N13" s="46">
        <v>791.24</v>
      </c>
      <c r="O13" s="45" t="s">
        <v>27</v>
      </c>
      <c r="P13" s="47">
        <f t="shared" si="2"/>
        <v>791.24</v>
      </c>
      <c r="Q13" s="47">
        <f t="shared" si="3"/>
        <v>53013.08</v>
      </c>
      <c r="R13" s="45" t="s">
        <v>29</v>
      </c>
      <c r="S13" s="45" t="s">
        <v>26</v>
      </c>
      <c r="T13" s="46">
        <v>791.25</v>
      </c>
      <c r="U13" s="45" t="s">
        <v>27</v>
      </c>
      <c r="V13" s="47">
        <f t="shared" si="4"/>
        <v>791.25</v>
      </c>
      <c r="W13" s="47">
        <f t="shared" si="5"/>
        <v>53013.75</v>
      </c>
      <c r="X13" s="48">
        <f t="shared" si="6"/>
        <v>791.24</v>
      </c>
      <c r="Y13" s="49"/>
      <c r="Z13" s="50">
        <f t="shared" si="7"/>
        <v>791.24333333333334</v>
      </c>
      <c r="AA13" s="51">
        <f t="shared" si="8"/>
        <v>-4.212779043939463E-4</v>
      </c>
      <c r="AB13" s="50">
        <f t="shared" si="9"/>
        <v>53013.08</v>
      </c>
    </row>
    <row r="14" spans="1:40 16379:16384" ht="25.5" x14ac:dyDescent="0.25">
      <c r="A14" s="40">
        <v>5</v>
      </c>
      <c r="B14" s="41" t="s">
        <v>34</v>
      </c>
      <c r="C14" s="42" t="s">
        <v>23</v>
      </c>
      <c r="D14" s="44" t="s">
        <v>32</v>
      </c>
      <c r="E14" s="44">
        <v>195</v>
      </c>
      <c r="F14" s="45" t="s">
        <v>25</v>
      </c>
      <c r="G14" s="45" t="s">
        <v>26</v>
      </c>
      <c r="H14" s="46">
        <v>295.68</v>
      </c>
      <c r="I14" s="45" t="s">
        <v>27</v>
      </c>
      <c r="J14" s="47">
        <f t="shared" si="0"/>
        <v>295.68</v>
      </c>
      <c r="K14" s="47">
        <f t="shared" si="1"/>
        <v>57657.599999999999</v>
      </c>
      <c r="L14" s="45" t="s">
        <v>28</v>
      </c>
      <c r="M14" s="45" t="s">
        <v>26</v>
      </c>
      <c r="N14" s="46">
        <v>296</v>
      </c>
      <c r="O14" s="45" t="s">
        <v>27</v>
      </c>
      <c r="P14" s="47">
        <f t="shared" si="2"/>
        <v>296</v>
      </c>
      <c r="Q14" s="47">
        <f t="shared" si="3"/>
        <v>57720</v>
      </c>
      <c r="R14" s="45" t="s">
        <v>29</v>
      </c>
      <c r="S14" s="45" t="s">
        <v>26</v>
      </c>
      <c r="T14" s="46">
        <v>295.68</v>
      </c>
      <c r="U14" s="45" t="s">
        <v>27</v>
      </c>
      <c r="V14" s="47">
        <f t="shared" si="4"/>
        <v>295.68</v>
      </c>
      <c r="W14" s="47">
        <f t="shared" si="5"/>
        <v>57657.599999999999</v>
      </c>
      <c r="X14" s="48">
        <f t="shared" si="6"/>
        <v>295.68</v>
      </c>
      <c r="Y14" s="49"/>
      <c r="Z14" s="50">
        <f t="shared" si="7"/>
        <v>295.78666666666669</v>
      </c>
      <c r="AA14" s="51">
        <f t="shared" si="8"/>
        <v>-3.6062026685911519E-2</v>
      </c>
      <c r="AB14" s="50">
        <f t="shared" si="9"/>
        <v>57657.599999999999</v>
      </c>
    </row>
    <row r="15" spans="1:40 16379:16384" ht="25.5" x14ac:dyDescent="0.25">
      <c r="A15" s="53">
        <v>6</v>
      </c>
      <c r="B15" s="41" t="s">
        <v>35</v>
      </c>
      <c r="C15" s="42" t="s">
        <v>23</v>
      </c>
      <c r="D15" s="44" t="s">
        <v>32</v>
      </c>
      <c r="E15" s="44">
        <v>0</v>
      </c>
      <c r="F15" s="45" t="s">
        <v>25</v>
      </c>
      <c r="G15" s="45" t="s">
        <v>26</v>
      </c>
      <c r="H15" s="46">
        <v>295.68</v>
      </c>
      <c r="I15" s="45" t="s">
        <v>27</v>
      </c>
      <c r="J15" s="47">
        <f t="shared" si="0"/>
        <v>295.68</v>
      </c>
      <c r="K15" s="47">
        <f t="shared" si="1"/>
        <v>0</v>
      </c>
      <c r="L15" s="45" t="s">
        <v>28</v>
      </c>
      <c r="M15" s="45" t="s">
        <v>26</v>
      </c>
      <c r="N15" s="46">
        <v>296</v>
      </c>
      <c r="O15" s="45" t="s">
        <v>27</v>
      </c>
      <c r="P15" s="47">
        <f t="shared" si="2"/>
        <v>296</v>
      </c>
      <c r="Q15" s="47">
        <f t="shared" si="3"/>
        <v>0</v>
      </c>
      <c r="R15" s="45" t="s">
        <v>29</v>
      </c>
      <c r="S15" s="45" t="s">
        <v>26</v>
      </c>
      <c r="T15" s="46">
        <v>295.68</v>
      </c>
      <c r="U15" s="45" t="s">
        <v>27</v>
      </c>
      <c r="V15" s="47">
        <f t="shared" si="4"/>
        <v>295.68</v>
      </c>
      <c r="W15" s="47">
        <f t="shared" si="5"/>
        <v>0</v>
      </c>
      <c r="X15" s="48">
        <f t="shared" si="6"/>
        <v>295.68</v>
      </c>
      <c r="Y15" s="54"/>
      <c r="Z15" s="50">
        <f t="shared" si="7"/>
        <v>295.78666666666669</v>
      </c>
      <c r="AA15" s="51">
        <f t="shared" si="8"/>
        <v>-3.6062026685911519E-2</v>
      </c>
      <c r="AB15" s="50">
        <f t="shared" si="9"/>
        <v>0</v>
      </c>
    </row>
    <row r="16" spans="1:40 16379:16384" ht="25.5" x14ac:dyDescent="0.25">
      <c r="A16" s="40">
        <v>7</v>
      </c>
      <c r="B16" s="41" t="s">
        <v>36</v>
      </c>
      <c r="C16" s="42" t="s">
        <v>23</v>
      </c>
      <c r="D16" s="44" t="s">
        <v>32</v>
      </c>
      <c r="E16" s="44">
        <v>198</v>
      </c>
      <c r="F16" s="45" t="s">
        <v>25</v>
      </c>
      <c r="G16" s="45" t="s">
        <v>26</v>
      </c>
      <c r="H16" s="46">
        <v>177.14</v>
      </c>
      <c r="I16" s="45" t="s">
        <v>27</v>
      </c>
      <c r="J16" s="47">
        <f t="shared" si="0"/>
        <v>177.14</v>
      </c>
      <c r="K16" s="47">
        <f t="shared" si="1"/>
        <v>35073.719999999994</v>
      </c>
      <c r="L16" s="45" t="s">
        <v>28</v>
      </c>
      <c r="M16" s="45" t="s">
        <v>26</v>
      </c>
      <c r="N16" s="46">
        <v>177.5</v>
      </c>
      <c r="O16" s="45" t="s">
        <v>27</v>
      </c>
      <c r="P16" s="47">
        <f t="shared" si="2"/>
        <v>177.5</v>
      </c>
      <c r="Q16" s="47">
        <f t="shared" si="3"/>
        <v>35145</v>
      </c>
      <c r="R16" s="45" t="s">
        <v>29</v>
      </c>
      <c r="S16" s="45" t="s">
        <v>26</v>
      </c>
      <c r="T16" s="46">
        <v>177.15</v>
      </c>
      <c r="U16" s="45" t="s">
        <v>27</v>
      </c>
      <c r="V16" s="47">
        <f t="shared" si="4"/>
        <v>177.15</v>
      </c>
      <c r="W16" s="47">
        <f t="shared" si="5"/>
        <v>35075.700000000004</v>
      </c>
      <c r="X16" s="48">
        <f t="shared" si="6"/>
        <v>177.14</v>
      </c>
      <c r="Y16" s="54"/>
      <c r="Z16" s="50">
        <f t="shared" si="7"/>
        <v>177.26333333333332</v>
      </c>
      <c r="AA16" s="51">
        <f t="shared" si="8"/>
        <v>-6.9576336523809346E-2</v>
      </c>
      <c r="AB16" s="50">
        <f t="shared" si="9"/>
        <v>35073.719999999994</v>
      </c>
    </row>
    <row r="17" spans="1:28" ht="25.5" x14ac:dyDescent="0.25">
      <c r="A17" s="40">
        <v>8</v>
      </c>
      <c r="B17" s="41" t="s">
        <v>37</v>
      </c>
      <c r="C17" s="42" t="s">
        <v>23</v>
      </c>
      <c r="D17" s="44" t="s">
        <v>32</v>
      </c>
      <c r="E17" s="44">
        <v>4</v>
      </c>
      <c r="F17" s="45" t="s">
        <v>25</v>
      </c>
      <c r="G17" s="45" t="s">
        <v>26</v>
      </c>
      <c r="H17" s="46">
        <v>4969.53</v>
      </c>
      <c r="I17" s="45" t="s">
        <v>27</v>
      </c>
      <c r="J17" s="47">
        <f t="shared" si="0"/>
        <v>4969.53</v>
      </c>
      <c r="K17" s="47">
        <f t="shared" si="1"/>
        <v>19878.12</v>
      </c>
      <c r="L17" s="45" t="s">
        <v>28</v>
      </c>
      <c r="M17" s="45" t="s">
        <v>26</v>
      </c>
      <c r="N17" s="46">
        <v>4969.53</v>
      </c>
      <c r="O17" s="45" t="s">
        <v>27</v>
      </c>
      <c r="P17" s="47">
        <f t="shared" si="2"/>
        <v>4969.53</v>
      </c>
      <c r="Q17" s="47">
        <f t="shared" si="3"/>
        <v>19878.12</v>
      </c>
      <c r="R17" s="45" t="s">
        <v>29</v>
      </c>
      <c r="S17" s="45" t="s">
        <v>26</v>
      </c>
      <c r="T17" s="46">
        <v>5230.93</v>
      </c>
      <c r="U17" s="45" t="s">
        <v>27</v>
      </c>
      <c r="V17" s="47">
        <f t="shared" si="4"/>
        <v>5230.93</v>
      </c>
      <c r="W17" s="47">
        <f t="shared" si="5"/>
        <v>20923.72</v>
      </c>
      <c r="X17" s="48">
        <f t="shared" si="6"/>
        <v>4969.53</v>
      </c>
      <c r="Y17" s="54"/>
      <c r="Z17" s="50">
        <f t="shared" si="7"/>
        <v>5056.663333333333</v>
      </c>
      <c r="AA17" s="51">
        <f t="shared" si="8"/>
        <v>-1.7231389078041559</v>
      </c>
      <c r="AB17" s="50">
        <f t="shared" si="9"/>
        <v>19878.12</v>
      </c>
    </row>
    <row r="18" spans="1:28" ht="25.5" x14ac:dyDescent="0.25">
      <c r="A18" s="53">
        <v>9</v>
      </c>
      <c r="B18" s="41" t="s">
        <v>38</v>
      </c>
      <c r="C18" s="42" t="s">
        <v>23</v>
      </c>
      <c r="D18" s="44" t="s">
        <v>32</v>
      </c>
      <c r="E18" s="44">
        <v>592</v>
      </c>
      <c r="F18" s="45" t="s">
        <v>25</v>
      </c>
      <c r="G18" s="45" t="s">
        <v>26</v>
      </c>
      <c r="H18" s="46">
        <v>5.23</v>
      </c>
      <c r="I18" s="45" t="s">
        <v>27</v>
      </c>
      <c r="J18" s="47">
        <f t="shared" si="0"/>
        <v>5.23</v>
      </c>
      <c r="K18" s="47">
        <f t="shared" si="1"/>
        <v>3096.1600000000003</v>
      </c>
      <c r="L18" s="45" t="s">
        <v>28</v>
      </c>
      <c r="M18" s="45" t="s">
        <v>26</v>
      </c>
      <c r="N18" s="46">
        <v>5.23</v>
      </c>
      <c r="O18" s="45" t="s">
        <v>27</v>
      </c>
      <c r="P18" s="47">
        <f t="shared" si="2"/>
        <v>5.23</v>
      </c>
      <c r="Q18" s="47">
        <f t="shared" si="3"/>
        <v>3096.1600000000003</v>
      </c>
      <c r="R18" s="45" t="s">
        <v>29</v>
      </c>
      <c r="S18" s="45" t="s">
        <v>26</v>
      </c>
      <c r="T18" s="46">
        <v>5.51</v>
      </c>
      <c r="U18" s="45" t="s">
        <v>27</v>
      </c>
      <c r="V18" s="47">
        <f t="shared" si="4"/>
        <v>5.51</v>
      </c>
      <c r="W18" s="47">
        <f t="shared" si="5"/>
        <v>3261.92</v>
      </c>
      <c r="X18" s="48">
        <f t="shared" si="6"/>
        <v>5.23</v>
      </c>
      <c r="Y18" s="49"/>
      <c r="Z18" s="50">
        <f t="shared" si="7"/>
        <v>5.3233333333333333</v>
      </c>
      <c r="AA18" s="51">
        <f t="shared" si="8"/>
        <v>-1.753287413901063</v>
      </c>
      <c r="AB18" s="50">
        <f t="shared" si="9"/>
        <v>3096.1600000000003</v>
      </c>
    </row>
    <row r="19" spans="1:28" ht="27" x14ac:dyDescent="0.25">
      <c r="A19" s="40">
        <v>10</v>
      </c>
      <c r="B19" s="41" t="s">
        <v>39</v>
      </c>
      <c r="C19" s="42" t="s">
        <v>23</v>
      </c>
      <c r="D19" s="44" t="s">
        <v>40</v>
      </c>
      <c r="E19" s="44">
        <v>254</v>
      </c>
      <c r="F19" s="45" t="s">
        <v>25</v>
      </c>
      <c r="G19" s="45" t="s">
        <v>26</v>
      </c>
      <c r="H19" s="46">
        <v>161.16</v>
      </c>
      <c r="I19" s="45" t="s">
        <v>27</v>
      </c>
      <c r="J19" s="47">
        <f t="shared" si="0"/>
        <v>161.16</v>
      </c>
      <c r="K19" s="47">
        <f t="shared" si="1"/>
        <v>40934.639999999999</v>
      </c>
      <c r="L19" s="45" t="s">
        <v>28</v>
      </c>
      <c r="M19" s="45" t="s">
        <v>26</v>
      </c>
      <c r="N19" s="46">
        <v>161.16</v>
      </c>
      <c r="O19" s="45" t="s">
        <v>27</v>
      </c>
      <c r="P19" s="47">
        <f t="shared" si="2"/>
        <v>161.16</v>
      </c>
      <c r="Q19" s="47">
        <f t="shared" si="3"/>
        <v>40934.639999999999</v>
      </c>
      <c r="R19" s="45" t="s">
        <v>29</v>
      </c>
      <c r="S19" s="45" t="s">
        <v>26</v>
      </c>
      <c r="T19" s="46">
        <v>161.16</v>
      </c>
      <c r="U19" s="45" t="s">
        <v>27</v>
      </c>
      <c r="V19" s="47">
        <f t="shared" si="4"/>
        <v>161.16</v>
      </c>
      <c r="W19" s="47">
        <f t="shared" si="5"/>
        <v>40934.639999999999</v>
      </c>
      <c r="X19" s="48">
        <f t="shared" si="6"/>
        <v>161.16</v>
      </c>
      <c r="Y19" s="49"/>
      <c r="Z19" s="50">
        <f t="shared" si="7"/>
        <v>161.16</v>
      </c>
      <c r="AA19" s="51">
        <f t="shared" si="8"/>
        <v>0</v>
      </c>
      <c r="AB19" s="50">
        <f t="shared" si="9"/>
        <v>40934.639999999999</v>
      </c>
    </row>
    <row r="20" spans="1:28" ht="25.5" x14ac:dyDescent="0.25">
      <c r="A20" s="40">
        <v>11</v>
      </c>
      <c r="B20" s="41" t="s">
        <v>41</v>
      </c>
      <c r="C20" s="42" t="s">
        <v>42</v>
      </c>
      <c r="D20" s="44" t="s">
        <v>32</v>
      </c>
      <c r="E20" s="44">
        <v>528</v>
      </c>
      <c r="F20" s="45" t="s">
        <v>43</v>
      </c>
      <c r="G20" s="45" t="s">
        <v>26</v>
      </c>
      <c r="H20" s="46">
        <f>46.42/1.22</f>
        <v>38.049180327868854</v>
      </c>
      <c r="I20" s="45" t="s">
        <v>27</v>
      </c>
      <c r="J20" s="47">
        <f t="shared" si="0"/>
        <v>38.049180327868854</v>
      </c>
      <c r="K20" s="47">
        <f t="shared" si="1"/>
        <v>20089.967213114756</v>
      </c>
      <c r="L20" s="45" t="s">
        <v>44</v>
      </c>
      <c r="M20" s="45" t="s">
        <v>26</v>
      </c>
      <c r="N20" s="46">
        <f>50/1.22</f>
        <v>40.983606557377051</v>
      </c>
      <c r="O20" s="45" t="s">
        <v>27</v>
      </c>
      <c r="P20" s="47">
        <f t="shared" si="2"/>
        <v>40.983606557377051</v>
      </c>
      <c r="Q20" s="47">
        <f t="shared" si="3"/>
        <v>21639.344262295082</v>
      </c>
      <c r="R20" s="45" t="s">
        <v>45</v>
      </c>
      <c r="S20" s="45" t="s">
        <v>26</v>
      </c>
      <c r="T20" s="46">
        <f>48.21/1.22</f>
        <v>39.516393442622949</v>
      </c>
      <c r="U20" s="45" t="s">
        <v>27</v>
      </c>
      <c r="V20" s="47">
        <f t="shared" si="4"/>
        <v>39.516393442622949</v>
      </c>
      <c r="W20" s="47">
        <f t="shared" si="5"/>
        <v>20864.655737704918</v>
      </c>
      <c r="X20" s="48">
        <f t="shared" si="6"/>
        <v>38.049180327868854</v>
      </c>
      <c r="Y20" s="49"/>
      <c r="Z20" s="50">
        <f t="shared" si="7"/>
        <v>39.516393442622956</v>
      </c>
      <c r="AA20" s="51">
        <f t="shared" si="8"/>
        <v>-3.7129226301597242</v>
      </c>
      <c r="AB20" s="50">
        <f t="shared" si="9"/>
        <v>20089.967213114756</v>
      </c>
    </row>
    <row r="21" spans="1:28" ht="25.5" x14ac:dyDescent="0.25">
      <c r="A21" s="53">
        <v>12</v>
      </c>
      <c r="B21" s="41" t="s">
        <v>46</v>
      </c>
      <c r="C21" s="42" t="s">
        <v>47</v>
      </c>
      <c r="D21" s="44" t="s">
        <v>48</v>
      </c>
      <c r="E21" s="44">
        <v>0</v>
      </c>
      <c r="F21" s="45" t="s">
        <v>49</v>
      </c>
      <c r="G21" s="45" t="s">
        <v>26</v>
      </c>
      <c r="H21" s="46">
        <f>1086.69</f>
        <v>1086.69</v>
      </c>
      <c r="I21" s="45" t="s">
        <v>27</v>
      </c>
      <c r="J21" s="47">
        <f t="shared" si="0"/>
        <v>1086.69</v>
      </c>
      <c r="K21" s="47">
        <f t="shared" si="1"/>
        <v>0</v>
      </c>
      <c r="L21" s="45" t="s">
        <v>50</v>
      </c>
      <c r="M21" s="45" t="s">
        <v>26</v>
      </c>
      <c r="N21" s="46">
        <v>1109.73</v>
      </c>
      <c r="O21" s="45" t="s">
        <v>27</v>
      </c>
      <c r="P21" s="47">
        <f t="shared" si="2"/>
        <v>1109.73</v>
      </c>
      <c r="Q21" s="47">
        <f t="shared" si="3"/>
        <v>0</v>
      </c>
      <c r="R21" s="45" t="s">
        <v>51</v>
      </c>
      <c r="S21" s="45" t="s">
        <v>26</v>
      </c>
      <c r="T21" s="46">
        <f>1367.29/1.22</f>
        <v>1120.7295081967213</v>
      </c>
      <c r="U21" s="45" t="s">
        <v>27</v>
      </c>
      <c r="V21" s="47">
        <f t="shared" si="4"/>
        <v>1120.7295081967213</v>
      </c>
      <c r="W21" s="47">
        <f t="shared" si="5"/>
        <v>0</v>
      </c>
      <c r="X21" s="48">
        <f t="shared" si="6"/>
        <v>1086.69</v>
      </c>
      <c r="Y21" s="49"/>
      <c r="Z21" s="50">
        <f t="shared" si="7"/>
        <v>1105.7165027322405</v>
      </c>
      <c r="AA21" s="51">
        <f t="shared" si="8"/>
        <v>-1.7207396909809916</v>
      </c>
      <c r="AB21" s="50">
        <f t="shared" si="9"/>
        <v>0</v>
      </c>
    </row>
    <row r="22" spans="1:28" ht="25.5" x14ac:dyDescent="0.25">
      <c r="A22" s="40">
        <v>13</v>
      </c>
      <c r="B22" s="41" t="s">
        <v>52</v>
      </c>
      <c r="C22" s="42" t="s">
        <v>23</v>
      </c>
      <c r="D22" s="44" t="s">
        <v>32</v>
      </c>
      <c r="E22" s="44">
        <v>144</v>
      </c>
      <c r="F22" s="45" t="s">
        <v>25</v>
      </c>
      <c r="G22" s="45" t="s">
        <v>26</v>
      </c>
      <c r="H22" s="46">
        <v>24.53</v>
      </c>
      <c r="I22" s="45" t="s">
        <v>27</v>
      </c>
      <c r="J22" s="47">
        <f t="shared" si="0"/>
        <v>24.53</v>
      </c>
      <c r="K22" s="47">
        <f t="shared" si="1"/>
        <v>3532.32</v>
      </c>
      <c r="L22" s="45" t="s">
        <v>28</v>
      </c>
      <c r="M22" s="45" t="s">
        <v>26</v>
      </c>
      <c r="N22" s="46">
        <v>24.53</v>
      </c>
      <c r="O22" s="45" t="s">
        <v>27</v>
      </c>
      <c r="P22" s="47">
        <f t="shared" si="2"/>
        <v>24.53</v>
      </c>
      <c r="Q22" s="47">
        <f t="shared" si="3"/>
        <v>3532.32</v>
      </c>
      <c r="R22" s="45" t="s">
        <v>29</v>
      </c>
      <c r="S22" s="45" t="s">
        <v>26</v>
      </c>
      <c r="T22" s="46">
        <v>24.52</v>
      </c>
      <c r="U22" s="45" t="s">
        <v>27</v>
      </c>
      <c r="V22" s="47">
        <f t="shared" si="4"/>
        <v>24.52</v>
      </c>
      <c r="W22" s="47">
        <f t="shared" si="5"/>
        <v>3530.88</v>
      </c>
      <c r="X22" s="48">
        <f t="shared" si="6"/>
        <v>24.52</v>
      </c>
      <c r="Y22" s="49"/>
      <c r="Z22" s="50">
        <f t="shared" si="7"/>
        <v>24.526666666666667</v>
      </c>
      <c r="AA22" s="51">
        <f t="shared" si="8"/>
        <v>-2.718129926610402E-2</v>
      </c>
      <c r="AB22" s="50">
        <f t="shared" si="9"/>
        <v>3530.88</v>
      </c>
    </row>
    <row r="23" spans="1:28" ht="25.5" x14ac:dyDescent="0.25">
      <c r="A23" s="40">
        <v>14</v>
      </c>
      <c r="B23" s="41" t="s">
        <v>53</v>
      </c>
      <c r="C23" s="42" t="s">
        <v>23</v>
      </c>
      <c r="D23" s="44" t="s">
        <v>32</v>
      </c>
      <c r="E23" s="44">
        <v>144</v>
      </c>
      <c r="F23" s="45" t="s">
        <v>25</v>
      </c>
      <c r="G23" s="45" t="s">
        <v>26</v>
      </c>
      <c r="H23" s="46">
        <v>145.47999999999999</v>
      </c>
      <c r="I23" s="45" t="s">
        <v>27</v>
      </c>
      <c r="J23" s="47">
        <f t="shared" si="0"/>
        <v>145.47999999999999</v>
      </c>
      <c r="K23" s="47">
        <f t="shared" si="1"/>
        <v>20949.12</v>
      </c>
      <c r="L23" s="45" t="s">
        <v>28</v>
      </c>
      <c r="M23" s="45" t="s">
        <v>26</v>
      </c>
      <c r="N23" s="46">
        <v>145.47999999999999</v>
      </c>
      <c r="O23" s="45" t="s">
        <v>27</v>
      </c>
      <c r="P23" s="47">
        <f t="shared" si="2"/>
        <v>145.47999999999999</v>
      </c>
      <c r="Q23" s="47">
        <f t="shared" si="3"/>
        <v>20949.12</v>
      </c>
      <c r="R23" s="45" t="s">
        <v>29</v>
      </c>
      <c r="S23" s="45" t="s">
        <v>26</v>
      </c>
      <c r="T23" s="46">
        <v>145.47999999999999</v>
      </c>
      <c r="U23" s="45" t="s">
        <v>27</v>
      </c>
      <c r="V23" s="47">
        <f t="shared" si="4"/>
        <v>145.47999999999999</v>
      </c>
      <c r="W23" s="47">
        <f t="shared" si="5"/>
        <v>20949.12</v>
      </c>
      <c r="X23" s="48">
        <f t="shared" si="6"/>
        <v>145.47999999999999</v>
      </c>
      <c r="Y23" s="54"/>
      <c r="Z23" s="50">
        <f t="shared" si="7"/>
        <v>145.47999999999999</v>
      </c>
      <c r="AA23" s="51">
        <f t="shared" si="8"/>
        <v>0</v>
      </c>
      <c r="AB23" s="50">
        <f t="shared" si="9"/>
        <v>20949.12</v>
      </c>
    </row>
    <row r="24" spans="1:28" ht="25.5" x14ac:dyDescent="0.25">
      <c r="A24" s="53">
        <v>15</v>
      </c>
      <c r="B24" s="41" t="s">
        <v>54</v>
      </c>
      <c r="C24" s="42" t="s">
        <v>23</v>
      </c>
      <c r="D24" s="44" t="s">
        <v>32</v>
      </c>
      <c r="E24" s="55">
        <v>3040</v>
      </c>
      <c r="F24" s="45" t="s">
        <v>25</v>
      </c>
      <c r="G24" s="45" t="s">
        <v>26</v>
      </c>
      <c r="H24" s="46">
        <v>104.24</v>
      </c>
      <c r="I24" s="45" t="s">
        <v>27</v>
      </c>
      <c r="J24" s="47">
        <f t="shared" si="0"/>
        <v>104.24</v>
      </c>
      <c r="K24" s="47">
        <f t="shared" si="1"/>
        <v>316889.59999999998</v>
      </c>
      <c r="L24" s="45" t="s">
        <v>28</v>
      </c>
      <c r="M24" s="45" t="s">
        <v>26</v>
      </c>
      <c r="N24" s="46">
        <v>104.5</v>
      </c>
      <c r="O24" s="45" t="s">
        <v>27</v>
      </c>
      <c r="P24" s="47">
        <f t="shared" si="2"/>
        <v>104.5</v>
      </c>
      <c r="Q24" s="47">
        <f t="shared" si="3"/>
        <v>317680</v>
      </c>
      <c r="R24" s="45" t="s">
        <v>29</v>
      </c>
      <c r="S24" s="45" t="s">
        <v>26</v>
      </c>
      <c r="T24" s="46">
        <v>109.73</v>
      </c>
      <c r="U24" s="45" t="s">
        <v>27</v>
      </c>
      <c r="V24" s="47">
        <f t="shared" si="4"/>
        <v>109.73</v>
      </c>
      <c r="W24" s="47">
        <f t="shared" si="5"/>
        <v>333579.2</v>
      </c>
      <c r="X24" s="48">
        <f t="shared" si="6"/>
        <v>104.24</v>
      </c>
      <c r="Y24" s="54"/>
      <c r="Z24" s="50">
        <f t="shared" si="7"/>
        <v>106.15666666666668</v>
      </c>
      <c r="AA24" s="51">
        <f t="shared" si="8"/>
        <v>-1.8055075831318561</v>
      </c>
      <c r="AB24" s="50">
        <f t="shared" si="9"/>
        <v>316889.59999999998</v>
      </c>
    </row>
    <row r="25" spans="1:28" ht="25.5" x14ac:dyDescent="0.25">
      <c r="A25" s="40">
        <v>16</v>
      </c>
      <c r="B25" s="41" t="s">
        <v>55</v>
      </c>
      <c r="C25" s="42" t="s">
        <v>23</v>
      </c>
      <c r="D25" s="44" t="s">
        <v>24</v>
      </c>
      <c r="E25" s="44">
        <f>68*3</f>
        <v>204</v>
      </c>
      <c r="F25" s="45" t="s">
        <v>25</v>
      </c>
      <c r="G25" s="45" t="s">
        <v>26</v>
      </c>
      <c r="H25" s="46">
        <v>3013.71</v>
      </c>
      <c r="I25" s="45" t="s">
        <v>27</v>
      </c>
      <c r="J25" s="47">
        <f t="shared" si="0"/>
        <v>3013.71</v>
      </c>
      <c r="K25" s="47">
        <f t="shared" si="1"/>
        <v>614796.84</v>
      </c>
      <c r="L25" s="45" t="s">
        <v>28</v>
      </c>
      <c r="M25" s="45" t="s">
        <v>26</v>
      </c>
      <c r="N25" s="46">
        <v>3013.71</v>
      </c>
      <c r="O25" s="45" t="s">
        <v>27</v>
      </c>
      <c r="P25" s="47">
        <f t="shared" si="2"/>
        <v>3013.71</v>
      </c>
      <c r="Q25" s="47">
        <f t="shared" si="3"/>
        <v>614796.84</v>
      </c>
      <c r="R25" s="45" t="s">
        <v>29</v>
      </c>
      <c r="S25" s="45" t="s">
        <v>26</v>
      </c>
      <c r="T25" s="46">
        <v>3013.71</v>
      </c>
      <c r="U25" s="45"/>
      <c r="V25" s="47">
        <f t="shared" si="4"/>
        <v>3013.71</v>
      </c>
      <c r="W25" s="47">
        <f t="shared" si="5"/>
        <v>614796.84</v>
      </c>
      <c r="X25" s="48">
        <f t="shared" si="6"/>
        <v>3013.71</v>
      </c>
      <c r="Y25" s="54"/>
      <c r="Z25" s="50">
        <f t="shared" si="7"/>
        <v>3013.7100000000005</v>
      </c>
      <c r="AA25" s="51">
        <f t="shared" si="8"/>
        <v>0</v>
      </c>
      <c r="AB25" s="50">
        <f t="shared" si="9"/>
        <v>614796.84</v>
      </c>
    </row>
    <row r="26" spans="1:28" ht="25.5" x14ac:dyDescent="0.25">
      <c r="A26" s="40">
        <v>17</v>
      </c>
      <c r="B26" s="41" t="s">
        <v>56</v>
      </c>
      <c r="C26" s="42" t="s">
        <v>23</v>
      </c>
      <c r="D26" s="44" t="s">
        <v>24</v>
      </c>
      <c r="E26" s="44">
        <f>68*3</f>
        <v>204</v>
      </c>
      <c r="F26" s="45" t="s">
        <v>25</v>
      </c>
      <c r="G26" s="45" t="s">
        <v>26</v>
      </c>
      <c r="H26" s="46">
        <v>1332.19</v>
      </c>
      <c r="I26" s="45" t="s">
        <v>27</v>
      </c>
      <c r="J26" s="47">
        <f t="shared" si="0"/>
        <v>1332.19</v>
      </c>
      <c r="K26" s="47">
        <f t="shared" si="1"/>
        <v>271766.76</v>
      </c>
      <c r="L26" s="45" t="s">
        <v>28</v>
      </c>
      <c r="M26" s="45" t="s">
        <v>26</v>
      </c>
      <c r="N26" s="46">
        <v>1332.19</v>
      </c>
      <c r="O26" s="45" t="s">
        <v>27</v>
      </c>
      <c r="P26" s="47">
        <f t="shared" si="2"/>
        <v>1332.19</v>
      </c>
      <c r="Q26" s="47">
        <f t="shared" si="3"/>
        <v>271766.76</v>
      </c>
      <c r="R26" s="45" t="s">
        <v>29</v>
      </c>
      <c r="S26" s="45" t="s">
        <v>26</v>
      </c>
      <c r="T26" s="46">
        <v>1332.19</v>
      </c>
      <c r="U26" s="45" t="s">
        <v>27</v>
      </c>
      <c r="V26" s="47">
        <f t="shared" si="4"/>
        <v>1332.19</v>
      </c>
      <c r="W26" s="47">
        <f t="shared" si="5"/>
        <v>271766.76</v>
      </c>
      <c r="X26" s="48">
        <f t="shared" si="6"/>
        <v>1332.19</v>
      </c>
      <c r="Y26" s="54"/>
      <c r="Z26" s="50">
        <f t="shared" si="7"/>
        <v>1332.19</v>
      </c>
      <c r="AA26" s="51">
        <f t="shared" si="8"/>
        <v>0</v>
      </c>
      <c r="AB26" s="50">
        <f t="shared" si="9"/>
        <v>271766.76</v>
      </c>
    </row>
    <row r="27" spans="1:28" ht="27" x14ac:dyDescent="0.25">
      <c r="A27" s="53">
        <v>18</v>
      </c>
      <c r="B27" s="41" t="s">
        <v>57</v>
      </c>
      <c r="C27" s="42" t="s">
        <v>23</v>
      </c>
      <c r="D27" s="44" t="s">
        <v>32</v>
      </c>
      <c r="E27" s="44">
        <v>68</v>
      </c>
      <c r="F27" s="45" t="s">
        <v>25</v>
      </c>
      <c r="G27" s="45" t="s">
        <v>26</v>
      </c>
      <c r="H27" s="46">
        <v>6147.48</v>
      </c>
      <c r="I27" s="45" t="s">
        <v>27</v>
      </c>
      <c r="J27" s="47">
        <f t="shared" si="0"/>
        <v>6147.48</v>
      </c>
      <c r="K27" s="47">
        <f t="shared" si="1"/>
        <v>418028.63999999996</v>
      </c>
      <c r="L27" s="45" t="s">
        <v>28</v>
      </c>
      <c r="M27" s="45" t="s">
        <v>26</v>
      </c>
      <c r="N27" s="46">
        <v>6147.48</v>
      </c>
      <c r="O27" s="45" t="s">
        <v>27</v>
      </c>
      <c r="P27" s="47">
        <f t="shared" si="2"/>
        <v>6147.48</v>
      </c>
      <c r="Q27" s="47">
        <f t="shared" si="3"/>
        <v>418028.63999999996</v>
      </c>
      <c r="R27" s="45" t="s">
        <v>29</v>
      </c>
      <c r="S27" s="45" t="s">
        <v>26</v>
      </c>
      <c r="T27" s="46">
        <v>6147.48</v>
      </c>
      <c r="U27" s="45" t="s">
        <v>27</v>
      </c>
      <c r="V27" s="47">
        <f t="shared" si="4"/>
        <v>6147.48</v>
      </c>
      <c r="W27" s="47">
        <f t="shared" si="5"/>
        <v>418028.63999999996</v>
      </c>
      <c r="X27" s="48">
        <f t="shared" si="6"/>
        <v>6147.48</v>
      </c>
      <c r="Y27" s="49"/>
      <c r="Z27" s="50">
        <f t="shared" si="7"/>
        <v>6147.48</v>
      </c>
      <c r="AA27" s="51">
        <f t="shared" si="8"/>
        <v>0</v>
      </c>
      <c r="AB27" s="50">
        <f t="shared" si="9"/>
        <v>418028.63999999996</v>
      </c>
    </row>
    <row r="28" spans="1:28" ht="40.5" x14ac:dyDescent="0.25">
      <c r="A28" s="40">
        <v>19</v>
      </c>
      <c r="B28" s="41" t="s">
        <v>58</v>
      </c>
      <c r="C28" s="42" t="s">
        <v>23</v>
      </c>
      <c r="D28" s="44" t="s">
        <v>32</v>
      </c>
      <c r="E28" s="44">
        <v>68</v>
      </c>
      <c r="F28" s="45" t="s">
        <v>25</v>
      </c>
      <c r="G28" s="45" t="s">
        <v>26</v>
      </c>
      <c r="H28" s="46">
        <v>5570.18</v>
      </c>
      <c r="I28" s="45" t="s">
        <v>27</v>
      </c>
      <c r="J28" s="47">
        <f t="shared" si="0"/>
        <v>5570.18</v>
      </c>
      <c r="K28" s="47">
        <f t="shared" si="1"/>
        <v>378772.24</v>
      </c>
      <c r="L28" s="45" t="s">
        <v>28</v>
      </c>
      <c r="M28" s="45" t="s">
        <v>26</v>
      </c>
      <c r="N28" s="46">
        <v>5570.18</v>
      </c>
      <c r="O28" s="45" t="s">
        <v>27</v>
      </c>
      <c r="P28" s="47">
        <f t="shared" si="2"/>
        <v>5570.18</v>
      </c>
      <c r="Q28" s="47">
        <f t="shared" si="3"/>
        <v>378772.24</v>
      </c>
      <c r="R28" s="45" t="s">
        <v>29</v>
      </c>
      <c r="S28" s="45" t="s">
        <v>26</v>
      </c>
      <c r="T28" s="46">
        <v>5570.18</v>
      </c>
      <c r="U28" s="45" t="s">
        <v>27</v>
      </c>
      <c r="V28" s="47">
        <f t="shared" si="4"/>
        <v>5570.18</v>
      </c>
      <c r="W28" s="47">
        <f t="shared" si="5"/>
        <v>378772.24</v>
      </c>
      <c r="X28" s="48">
        <f t="shared" si="6"/>
        <v>5570.18</v>
      </c>
      <c r="Y28" s="49"/>
      <c r="Z28" s="50">
        <f t="shared" si="7"/>
        <v>5570.18</v>
      </c>
      <c r="AA28" s="51">
        <f t="shared" si="8"/>
        <v>0</v>
      </c>
      <c r="AB28" s="50">
        <f t="shared" si="9"/>
        <v>378772.24</v>
      </c>
    </row>
    <row r="29" spans="1:28" ht="25.5" x14ac:dyDescent="0.25">
      <c r="A29" s="40">
        <v>20</v>
      </c>
      <c r="B29" s="41" t="s">
        <v>59</v>
      </c>
      <c r="C29" s="42" t="s">
        <v>23</v>
      </c>
      <c r="D29" s="44" t="s">
        <v>32</v>
      </c>
      <c r="E29" s="44">
        <v>1</v>
      </c>
      <c r="F29" s="45" t="s">
        <v>25</v>
      </c>
      <c r="G29" s="45" t="s">
        <v>26</v>
      </c>
      <c r="H29" s="46">
        <v>4019.1</v>
      </c>
      <c r="I29" s="45" t="s">
        <v>27</v>
      </c>
      <c r="J29" s="47">
        <f t="shared" si="0"/>
        <v>4019.1</v>
      </c>
      <c r="K29" s="47">
        <f t="shared" si="1"/>
        <v>4019.1</v>
      </c>
      <c r="L29" s="45" t="s">
        <v>28</v>
      </c>
      <c r="M29" s="45" t="s">
        <v>26</v>
      </c>
      <c r="N29" s="46">
        <v>4019.1</v>
      </c>
      <c r="O29" s="45" t="s">
        <v>27</v>
      </c>
      <c r="P29" s="47">
        <f t="shared" si="2"/>
        <v>4019.1</v>
      </c>
      <c r="Q29" s="47">
        <f t="shared" si="3"/>
        <v>4019.1</v>
      </c>
      <c r="R29" s="45" t="s">
        <v>29</v>
      </c>
      <c r="S29" s="45" t="s">
        <v>26</v>
      </c>
      <c r="T29" s="46">
        <v>4019.11</v>
      </c>
      <c r="U29" s="45" t="s">
        <v>27</v>
      </c>
      <c r="V29" s="47">
        <f t="shared" si="4"/>
        <v>4019.11</v>
      </c>
      <c r="W29" s="47">
        <f t="shared" si="5"/>
        <v>4019.11</v>
      </c>
      <c r="X29" s="48">
        <f t="shared" si="6"/>
        <v>4019.1</v>
      </c>
      <c r="Y29" s="54"/>
      <c r="Z29" s="50">
        <f t="shared" si="7"/>
        <v>4019.103333333333</v>
      </c>
      <c r="AA29" s="51">
        <f t="shared" si="8"/>
        <v>-8.2937238900626653E-5</v>
      </c>
      <c r="AB29" s="50">
        <f t="shared" si="9"/>
        <v>4019.1</v>
      </c>
    </row>
    <row r="30" spans="1:28" ht="40.5" x14ac:dyDescent="0.25">
      <c r="A30" s="53">
        <v>21</v>
      </c>
      <c r="B30" s="41" t="s">
        <v>60</v>
      </c>
      <c r="C30" s="42" t="s">
        <v>23</v>
      </c>
      <c r="D30" s="44" t="s">
        <v>32</v>
      </c>
      <c r="E30" s="44">
        <v>68</v>
      </c>
      <c r="F30" s="45" t="s">
        <v>25</v>
      </c>
      <c r="G30" s="45" t="s">
        <v>26</v>
      </c>
      <c r="H30" s="46">
        <v>11623.45</v>
      </c>
      <c r="I30" s="45" t="s">
        <v>27</v>
      </c>
      <c r="J30" s="47">
        <f t="shared" si="0"/>
        <v>11623.45</v>
      </c>
      <c r="K30" s="47">
        <f t="shared" si="1"/>
        <v>790394.60000000009</v>
      </c>
      <c r="L30" s="45" t="s">
        <v>28</v>
      </c>
      <c r="M30" s="45" t="s">
        <v>26</v>
      </c>
      <c r="N30" s="46">
        <v>11623.45</v>
      </c>
      <c r="O30" s="45" t="s">
        <v>27</v>
      </c>
      <c r="P30" s="47">
        <f t="shared" si="2"/>
        <v>11623.45</v>
      </c>
      <c r="Q30" s="47">
        <f t="shared" si="3"/>
        <v>790394.60000000009</v>
      </c>
      <c r="R30" s="45" t="s">
        <v>29</v>
      </c>
      <c r="S30" s="45" t="s">
        <v>26</v>
      </c>
      <c r="T30" s="46">
        <v>11623.45</v>
      </c>
      <c r="U30" s="45" t="s">
        <v>27</v>
      </c>
      <c r="V30" s="47">
        <f t="shared" si="4"/>
        <v>11623.45</v>
      </c>
      <c r="W30" s="47">
        <f t="shared" si="5"/>
        <v>790394.60000000009</v>
      </c>
      <c r="X30" s="48">
        <f t="shared" si="6"/>
        <v>11623.45</v>
      </c>
      <c r="Y30" s="49"/>
      <c r="Z30" s="50">
        <f t="shared" si="7"/>
        <v>11623.450000000003</v>
      </c>
      <c r="AA30" s="51">
        <f t="shared" si="8"/>
        <v>0</v>
      </c>
      <c r="AB30" s="50">
        <f t="shared" si="9"/>
        <v>790394.60000000009</v>
      </c>
    </row>
    <row r="31" spans="1:28" ht="25.5" x14ac:dyDescent="0.25">
      <c r="A31" s="40">
        <v>22</v>
      </c>
      <c r="B31" s="41" t="s">
        <v>61</v>
      </c>
      <c r="C31" s="42" t="s">
        <v>23</v>
      </c>
      <c r="D31" s="44" t="s">
        <v>32</v>
      </c>
      <c r="E31" s="44">
        <v>408</v>
      </c>
      <c r="F31" s="45" t="s">
        <v>25</v>
      </c>
      <c r="G31" s="45" t="s">
        <v>26</v>
      </c>
      <c r="H31" s="46">
        <v>117.53</v>
      </c>
      <c r="I31" s="45" t="s">
        <v>27</v>
      </c>
      <c r="J31" s="47">
        <f t="shared" si="0"/>
        <v>117.53</v>
      </c>
      <c r="K31" s="47">
        <f t="shared" si="1"/>
        <v>47952.24</v>
      </c>
      <c r="L31" s="45" t="s">
        <v>28</v>
      </c>
      <c r="M31" s="45" t="s">
        <v>26</v>
      </c>
      <c r="N31" s="46">
        <v>117.53</v>
      </c>
      <c r="O31" s="45" t="s">
        <v>27</v>
      </c>
      <c r="P31" s="47">
        <f t="shared" si="2"/>
        <v>117.53</v>
      </c>
      <c r="Q31" s="47">
        <f t="shared" si="3"/>
        <v>47952.24</v>
      </c>
      <c r="R31" s="45" t="s">
        <v>29</v>
      </c>
      <c r="S31" s="45" t="s">
        <v>26</v>
      </c>
      <c r="T31" s="46">
        <v>117.53</v>
      </c>
      <c r="U31" s="45" t="s">
        <v>27</v>
      </c>
      <c r="V31" s="47">
        <f t="shared" si="4"/>
        <v>117.53</v>
      </c>
      <c r="W31" s="47">
        <f t="shared" si="5"/>
        <v>47952.24</v>
      </c>
      <c r="X31" s="48">
        <f t="shared" si="6"/>
        <v>117.53</v>
      </c>
      <c r="Y31" s="49"/>
      <c r="Z31" s="50">
        <f t="shared" si="7"/>
        <v>117.53000000000002</v>
      </c>
      <c r="AA31" s="51">
        <f t="shared" si="8"/>
        <v>0</v>
      </c>
      <c r="AB31" s="50">
        <f t="shared" si="9"/>
        <v>47952.24</v>
      </c>
    </row>
    <row r="32" spans="1:28" ht="27" x14ac:dyDescent="0.25">
      <c r="A32" s="40">
        <v>23</v>
      </c>
      <c r="B32" s="41" t="s">
        <v>62</v>
      </c>
      <c r="C32" s="42" t="s">
        <v>23</v>
      </c>
      <c r="D32" s="44" t="s">
        <v>32</v>
      </c>
      <c r="E32" s="44">
        <v>68</v>
      </c>
      <c r="F32" s="45" t="s">
        <v>25</v>
      </c>
      <c r="G32" s="45" t="s">
        <v>26</v>
      </c>
      <c r="H32" s="46">
        <v>2123.12</v>
      </c>
      <c r="I32" s="45" t="s">
        <v>27</v>
      </c>
      <c r="J32" s="47">
        <f t="shared" si="0"/>
        <v>2123.12</v>
      </c>
      <c r="K32" s="47">
        <f t="shared" si="1"/>
        <v>144372.16</v>
      </c>
      <c r="L32" s="45" t="s">
        <v>28</v>
      </c>
      <c r="M32" s="45" t="s">
        <v>26</v>
      </c>
      <c r="N32" s="46">
        <v>2123.12</v>
      </c>
      <c r="O32" s="45" t="s">
        <v>27</v>
      </c>
      <c r="P32" s="47">
        <f t="shared" si="2"/>
        <v>2123.12</v>
      </c>
      <c r="Q32" s="47">
        <f t="shared" si="3"/>
        <v>144372.16</v>
      </c>
      <c r="R32" s="45" t="s">
        <v>29</v>
      </c>
      <c r="S32" s="45" t="s">
        <v>26</v>
      </c>
      <c r="T32" s="46">
        <v>2123.12</v>
      </c>
      <c r="U32" s="45" t="s">
        <v>27</v>
      </c>
      <c r="V32" s="47">
        <f t="shared" si="4"/>
        <v>2123.12</v>
      </c>
      <c r="W32" s="47">
        <f t="shared" si="5"/>
        <v>144372.16</v>
      </c>
      <c r="X32" s="48">
        <f t="shared" si="6"/>
        <v>2123.12</v>
      </c>
      <c r="Y32" s="54"/>
      <c r="Z32" s="50">
        <f t="shared" si="7"/>
        <v>2123.12</v>
      </c>
      <c r="AA32" s="51">
        <f t="shared" si="8"/>
        <v>0</v>
      </c>
      <c r="AB32" s="50">
        <f t="shared" si="9"/>
        <v>144372.16</v>
      </c>
    </row>
    <row r="33" spans="1:28" ht="25.5" x14ac:dyDescent="0.25">
      <c r="A33" s="53">
        <v>24</v>
      </c>
      <c r="B33" s="41" t="s">
        <v>63</v>
      </c>
      <c r="C33" s="42" t="s">
        <v>23</v>
      </c>
      <c r="D33" s="44" t="s">
        <v>32</v>
      </c>
      <c r="E33" s="44">
        <v>68</v>
      </c>
      <c r="F33" s="45" t="s">
        <v>25</v>
      </c>
      <c r="G33" s="45" t="s">
        <v>26</v>
      </c>
      <c r="H33" s="46">
        <v>3568.03</v>
      </c>
      <c r="I33" s="45" t="s">
        <v>27</v>
      </c>
      <c r="J33" s="47">
        <f t="shared" si="0"/>
        <v>3568.03</v>
      </c>
      <c r="K33" s="47">
        <f t="shared" si="1"/>
        <v>242626.04</v>
      </c>
      <c r="L33" s="45" t="s">
        <v>28</v>
      </c>
      <c r="M33" s="45" t="s">
        <v>26</v>
      </c>
      <c r="N33" s="46">
        <v>3568.03</v>
      </c>
      <c r="O33" s="45" t="s">
        <v>27</v>
      </c>
      <c r="P33" s="47">
        <f t="shared" si="2"/>
        <v>3568.03</v>
      </c>
      <c r="Q33" s="47">
        <f t="shared" si="3"/>
        <v>242626.04</v>
      </c>
      <c r="R33" s="45" t="s">
        <v>29</v>
      </c>
      <c r="S33" s="45" t="s">
        <v>26</v>
      </c>
      <c r="T33" s="46">
        <v>3568.03</v>
      </c>
      <c r="U33" s="45" t="s">
        <v>27</v>
      </c>
      <c r="V33" s="47">
        <f t="shared" si="4"/>
        <v>3568.03</v>
      </c>
      <c r="W33" s="47">
        <f t="shared" si="5"/>
        <v>242626.04</v>
      </c>
      <c r="X33" s="48">
        <f t="shared" si="6"/>
        <v>3568.03</v>
      </c>
      <c r="Y33" s="49"/>
      <c r="Z33" s="50">
        <f t="shared" si="7"/>
        <v>3568.03</v>
      </c>
      <c r="AA33" s="51">
        <f t="shared" si="8"/>
        <v>0</v>
      </c>
      <c r="AB33" s="50">
        <f t="shared" si="9"/>
        <v>242626.04</v>
      </c>
    </row>
    <row r="34" spans="1:28" ht="25.5" x14ac:dyDescent="0.25">
      <c r="A34" s="56">
        <v>25</v>
      </c>
      <c r="B34" s="41" t="s">
        <v>64</v>
      </c>
      <c r="C34" s="42" t="s">
        <v>23</v>
      </c>
      <c r="D34" s="44" t="s">
        <v>32</v>
      </c>
      <c r="E34" s="44">
        <v>68</v>
      </c>
      <c r="F34" s="45" t="s">
        <v>25</v>
      </c>
      <c r="G34" s="45" t="s">
        <v>26</v>
      </c>
      <c r="H34" s="46">
        <v>2522.17</v>
      </c>
      <c r="I34" s="45" t="s">
        <v>27</v>
      </c>
      <c r="J34" s="47">
        <f t="shared" si="0"/>
        <v>2522.17</v>
      </c>
      <c r="K34" s="47">
        <f t="shared" si="1"/>
        <v>171507.56</v>
      </c>
      <c r="L34" s="45" t="s">
        <v>28</v>
      </c>
      <c r="M34" s="45" t="s">
        <v>26</v>
      </c>
      <c r="N34" s="46">
        <v>2522.17</v>
      </c>
      <c r="O34" s="45" t="s">
        <v>27</v>
      </c>
      <c r="P34" s="47">
        <f t="shared" si="2"/>
        <v>2522.17</v>
      </c>
      <c r="Q34" s="47">
        <f t="shared" si="3"/>
        <v>171507.56</v>
      </c>
      <c r="R34" s="45" t="s">
        <v>29</v>
      </c>
      <c r="S34" s="45" t="s">
        <v>26</v>
      </c>
      <c r="T34" s="46">
        <v>2522.17</v>
      </c>
      <c r="U34" s="45" t="s">
        <v>27</v>
      </c>
      <c r="V34" s="47">
        <f t="shared" si="4"/>
        <v>2522.17</v>
      </c>
      <c r="W34" s="47">
        <f t="shared" si="5"/>
        <v>171507.56</v>
      </c>
      <c r="X34" s="48">
        <f t="shared" si="6"/>
        <v>2522.17</v>
      </c>
      <c r="Y34" s="49"/>
      <c r="Z34" s="50">
        <f t="shared" si="7"/>
        <v>2522.17</v>
      </c>
      <c r="AA34" s="51">
        <f t="shared" si="8"/>
        <v>0</v>
      </c>
      <c r="AB34" s="50">
        <f t="shared" si="9"/>
        <v>171507.56</v>
      </c>
    </row>
    <row r="35" spans="1:28" ht="27" x14ac:dyDescent="0.25">
      <c r="A35" s="40">
        <v>26</v>
      </c>
      <c r="B35" s="41" t="s">
        <v>65</v>
      </c>
      <c r="C35" s="42" t="s">
        <v>47</v>
      </c>
      <c r="D35" s="44" t="s">
        <v>24</v>
      </c>
      <c r="E35" s="44">
        <v>147</v>
      </c>
      <c r="F35" s="45" t="s">
        <v>49</v>
      </c>
      <c r="G35" s="45" t="s">
        <v>26</v>
      </c>
      <c r="H35" s="46">
        <v>391.44</v>
      </c>
      <c r="I35" s="45" t="s">
        <v>27</v>
      </c>
      <c r="J35" s="47">
        <f t="shared" si="0"/>
        <v>391.44</v>
      </c>
      <c r="K35" s="47">
        <f t="shared" si="1"/>
        <v>57541.68</v>
      </c>
      <c r="L35" s="45" t="s">
        <v>50</v>
      </c>
      <c r="M35" s="45" t="s">
        <v>26</v>
      </c>
      <c r="N35" s="46">
        <v>398.13</v>
      </c>
      <c r="O35" s="45" t="s">
        <v>27</v>
      </c>
      <c r="P35" s="47">
        <f t="shared" si="2"/>
        <v>398.13</v>
      </c>
      <c r="Q35" s="47">
        <f t="shared" si="3"/>
        <v>58525.11</v>
      </c>
      <c r="R35" s="45" t="s">
        <v>51</v>
      </c>
      <c r="S35" s="45" t="s">
        <v>26</v>
      </c>
      <c r="T35" s="46">
        <f>499.19/1.22</f>
        <v>409.17213114754099</v>
      </c>
      <c r="U35" s="45" t="s">
        <v>27</v>
      </c>
      <c r="V35" s="47">
        <f t="shared" si="4"/>
        <v>409.17213114754099</v>
      </c>
      <c r="W35" s="47">
        <f t="shared" si="5"/>
        <v>60148.303278688523</v>
      </c>
      <c r="X35" s="48">
        <f t="shared" si="6"/>
        <v>391.44</v>
      </c>
      <c r="Y35" s="57"/>
      <c r="Z35" s="50">
        <f t="shared" si="7"/>
        <v>399.58071038251364</v>
      </c>
      <c r="AA35" s="51">
        <f t="shared" si="8"/>
        <v>-2.0373131562633802</v>
      </c>
      <c r="AB35" s="50">
        <f t="shared" si="9"/>
        <v>57541.68</v>
      </c>
    </row>
    <row r="36" spans="1:28" ht="25.5" x14ac:dyDescent="0.25">
      <c r="A36" s="56">
        <v>27</v>
      </c>
      <c r="B36" s="41" t="s">
        <v>66</v>
      </c>
      <c r="C36" s="42" t="s">
        <v>23</v>
      </c>
      <c r="D36" s="44" t="s">
        <v>24</v>
      </c>
      <c r="E36" s="44">
        <v>942.45</v>
      </c>
      <c r="F36" s="45" t="s">
        <v>25</v>
      </c>
      <c r="G36" s="45" t="s">
        <v>26</v>
      </c>
      <c r="H36" s="46">
        <v>293.87</v>
      </c>
      <c r="I36" s="45" t="s">
        <v>27</v>
      </c>
      <c r="J36" s="47">
        <f t="shared" si="0"/>
        <v>293.87</v>
      </c>
      <c r="K36" s="47">
        <f t="shared" si="1"/>
        <v>276957.78150000004</v>
      </c>
      <c r="L36" s="45" t="s">
        <v>28</v>
      </c>
      <c r="M36" s="45" t="s">
        <v>26</v>
      </c>
      <c r="N36" s="46">
        <v>293.87</v>
      </c>
      <c r="O36" s="45" t="s">
        <v>27</v>
      </c>
      <c r="P36" s="47">
        <f t="shared" si="2"/>
        <v>293.87</v>
      </c>
      <c r="Q36" s="47">
        <f t="shared" si="3"/>
        <v>276957.78150000004</v>
      </c>
      <c r="R36" s="45" t="s">
        <v>29</v>
      </c>
      <c r="S36" s="45" t="s">
        <v>26</v>
      </c>
      <c r="T36" s="46">
        <v>293.87</v>
      </c>
      <c r="U36" s="45" t="s">
        <v>27</v>
      </c>
      <c r="V36" s="47">
        <f t="shared" si="4"/>
        <v>293.87</v>
      </c>
      <c r="W36" s="47">
        <f t="shared" si="5"/>
        <v>276957.78150000004</v>
      </c>
      <c r="X36" s="48">
        <f t="shared" si="6"/>
        <v>293.87</v>
      </c>
      <c r="Y36" s="49"/>
      <c r="Z36" s="50">
        <f t="shared" si="7"/>
        <v>293.87</v>
      </c>
      <c r="AA36" s="51">
        <f t="shared" si="8"/>
        <v>0</v>
      </c>
      <c r="AB36" s="50">
        <f t="shared" si="9"/>
        <v>276957.78150000004</v>
      </c>
    </row>
    <row r="37" spans="1:28" ht="25.5" x14ac:dyDescent="0.25">
      <c r="A37" s="56">
        <v>28</v>
      </c>
      <c r="B37" s="41" t="s">
        <v>67</v>
      </c>
      <c r="C37" s="42" t="s">
        <v>23</v>
      </c>
      <c r="D37" s="44" t="s">
        <v>32</v>
      </c>
      <c r="E37" s="44">
        <v>240</v>
      </c>
      <c r="F37" s="45" t="s">
        <v>25</v>
      </c>
      <c r="G37" s="45" t="s">
        <v>26</v>
      </c>
      <c r="H37" s="46">
        <v>883.18</v>
      </c>
      <c r="I37" s="45" t="s">
        <v>27</v>
      </c>
      <c r="J37" s="47">
        <f t="shared" si="0"/>
        <v>883.18</v>
      </c>
      <c r="K37" s="47">
        <f t="shared" si="1"/>
        <v>211963.19999999998</v>
      </c>
      <c r="L37" s="45" t="s">
        <v>28</v>
      </c>
      <c r="M37" s="45" t="s">
        <v>26</v>
      </c>
      <c r="N37" s="46">
        <v>883.18</v>
      </c>
      <c r="O37" s="45" t="s">
        <v>27</v>
      </c>
      <c r="P37" s="47">
        <f t="shared" si="2"/>
        <v>883.18</v>
      </c>
      <c r="Q37" s="47">
        <f t="shared" si="3"/>
        <v>211963.19999999998</v>
      </c>
      <c r="R37" s="45" t="s">
        <v>29</v>
      </c>
      <c r="S37" s="45" t="s">
        <v>26</v>
      </c>
      <c r="T37" s="46">
        <v>883.18</v>
      </c>
      <c r="U37" s="45" t="s">
        <v>27</v>
      </c>
      <c r="V37" s="47">
        <f t="shared" si="4"/>
        <v>883.18</v>
      </c>
      <c r="W37" s="47">
        <f t="shared" si="5"/>
        <v>211963.19999999998</v>
      </c>
      <c r="X37" s="48">
        <f t="shared" si="6"/>
        <v>883.18</v>
      </c>
      <c r="Y37" s="49"/>
      <c r="Z37" s="50">
        <f t="shared" si="7"/>
        <v>883.18</v>
      </c>
      <c r="AA37" s="51">
        <f t="shared" si="8"/>
        <v>0</v>
      </c>
      <c r="AB37" s="50">
        <f t="shared" si="9"/>
        <v>211963.19999999998</v>
      </c>
    </row>
    <row r="38" spans="1:28" ht="25.5" x14ac:dyDescent="0.25">
      <c r="A38" s="40">
        <v>29</v>
      </c>
      <c r="B38" s="41" t="s">
        <v>68</v>
      </c>
      <c r="C38" s="42" t="s">
        <v>42</v>
      </c>
      <c r="D38" s="44" t="s">
        <v>32</v>
      </c>
      <c r="E38" s="44">
        <v>12</v>
      </c>
      <c r="F38" s="45" t="s">
        <v>43</v>
      </c>
      <c r="G38" s="45" t="s">
        <v>26</v>
      </c>
      <c r="H38" s="46">
        <f>2878.2/1.22</f>
        <v>2359.1803278688521</v>
      </c>
      <c r="I38" s="45" t="s">
        <v>27</v>
      </c>
      <c r="J38" s="47">
        <f t="shared" si="0"/>
        <v>2359.1803278688521</v>
      </c>
      <c r="K38" s="47">
        <f t="shared" si="1"/>
        <v>28310.163934426226</v>
      </c>
      <c r="L38" s="45" t="s">
        <v>69</v>
      </c>
      <c r="M38" s="45" t="s">
        <v>26</v>
      </c>
      <c r="N38" s="46">
        <f>3261/1.22</f>
        <v>2672.9508196721313</v>
      </c>
      <c r="O38" s="45" t="s">
        <v>27</v>
      </c>
      <c r="P38" s="47">
        <f t="shared" si="2"/>
        <v>2672.9508196721313</v>
      </c>
      <c r="Q38" s="47">
        <f t="shared" si="3"/>
        <v>32075.409836065577</v>
      </c>
      <c r="R38" s="45" t="s">
        <v>45</v>
      </c>
      <c r="S38" s="45" t="s">
        <v>26</v>
      </c>
      <c r="T38" s="46">
        <f>3387.64/1.22</f>
        <v>2776.7540983606559</v>
      </c>
      <c r="U38" s="45" t="s">
        <v>27</v>
      </c>
      <c r="V38" s="47">
        <f t="shared" si="4"/>
        <v>2776.7540983606559</v>
      </c>
      <c r="W38" s="47">
        <f t="shared" si="5"/>
        <v>33321.049180327871</v>
      </c>
      <c r="X38" s="48">
        <f t="shared" si="6"/>
        <v>2359.1803278688521</v>
      </c>
      <c r="Y38" s="57"/>
      <c r="Z38" s="50">
        <f t="shared" si="7"/>
        <v>2602.9617486338798</v>
      </c>
      <c r="AA38" s="51">
        <f t="shared" si="8"/>
        <v>-9.3655398852085341</v>
      </c>
      <c r="AB38" s="50">
        <f t="shared" si="9"/>
        <v>28310.163934426226</v>
      </c>
    </row>
    <row r="39" spans="1:28" ht="25.5" x14ac:dyDescent="0.25">
      <c r="A39" s="53">
        <v>30</v>
      </c>
      <c r="B39" s="41" t="s">
        <v>70</v>
      </c>
      <c r="C39" s="42" t="s">
        <v>42</v>
      </c>
      <c r="D39" s="44" t="s">
        <v>71</v>
      </c>
      <c r="E39" s="44">
        <v>2</v>
      </c>
      <c r="F39" s="45" t="s">
        <v>43</v>
      </c>
      <c r="G39" s="45" t="s">
        <v>26</v>
      </c>
      <c r="H39" s="46">
        <f>1260.9/1.22</f>
        <v>1033.5245901639346</v>
      </c>
      <c r="I39" s="45" t="s">
        <v>27</v>
      </c>
      <c r="J39" s="47">
        <f t="shared" si="0"/>
        <v>1033.5245901639346</v>
      </c>
      <c r="K39" s="47">
        <f t="shared" si="1"/>
        <v>2067.0491803278692</v>
      </c>
      <c r="L39" s="45" t="s">
        <v>69</v>
      </c>
      <c r="M39" s="45" t="s">
        <v>26</v>
      </c>
      <c r="N39" s="46">
        <f>1428.6/1.22</f>
        <v>1170.983606557377</v>
      </c>
      <c r="O39" s="45" t="s">
        <v>27</v>
      </c>
      <c r="P39" s="47">
        <f t="shared" si="2"/>
        <v>1170.983606557377</v>
      </c>
      <c r="Q39" s="47">
        <f t="shared" si="3"/>
        <v>2341.967213114754</v>
      </c>
      <c r="R39" s="45" t="s">
        <v>45</v>
      </c>
      <c r="S39" s="45" t="s">
        <v>26</v>
      </c>
      <c r="T39" s="46">
        <f>1484.08/1.22</f>
        <v>1216.4590163934427</v>
      </c>
      <c r="U39" s="45" t="s">
        <v>27</v>
      </c>
      <c r="V39" s="47">
        <f t="shared" si="4"/>
        <v>1216.4590163934427</v>
      </c>
      <c r="W39" s="47">
        <f t="shared" si="5"/>
        <v>2432.9180327868853</v>
      </c>
      <c r="X39" s="48">
        <f t="shared" si="6"/>
        <v>1033.5245901639346</v>
      </c>
      <c r="Y39" s="49"/>
      <c r="Z39" s="50">
        <f t="shared" si="7"/>
        <v>1140.3224043715848</v>
      </c>
      <c r="AA39" s="51">
        <f t="shared" si="8"/>
        <v>-9.3655806286209753</v>
      </c>
      <c r="AB39" s="50">
        <f t="shared" si="9"/>
        <v>2067.0491803278692</v>
      </c>
    </row>
    <row r="40" spans="1:28" ht="25.5" x14ac:dyDescent="0.25">
      <c r="A40" s="40">
        <v>31</v>
      </c>
      <c r="B40" s="41" t="s">
        <v>72</v>
      </c>
      <c r="C40" s="42" t="s">
        <v>42</v>
      </c>
      <c r="D40" s="44" t="s">
        <v>32</v>
      </c>
      <c r="E40" s="44">
        <v>22</v>
      </c>
      <c r="F40" s="45" t="s">
        <v>43</v>
      </c>
      <c r="G40" s="45" t="s">
        <v>26</v>
      </c>
      <c r="H40" s="46">
        <f>9823.95/1.22</f>
        <v>8052.4180327868862</v>
      </c>
      <c r="I40" s="45" t="s">
        <v>27</v>
      </c>
      <c r="J40" s="47">
        <f t="shared" si="0"/>
        <v>8052.4180327868862</v>
      </c>
      <c r="K40" s="47">
        <f t="shared" si="1"/>
        <v>177153.19672131148</v>
      </c>
      <c r="L40" s="45" t="s">
        <v>69</v>
      </c>
      <c r="M40" s="45" t="s">
        <v>26</v>
      </c>
      <c r="N40" s="46">
        <f>11130.54/1.22</f>
        <v>9123.3934426229516</v>
      </c>
      <c r="O40" s="45" t="s">
        <v>27</v>
      </c>
      <c r="P40" s="47">
        <f t="shared" si="2"/>
        <v>9123.3934426229516</v>
      </c>
      <c r="Q40" s="47">
        <f t="shared" si="3"/>
        <v>200714.65573770495</v>
      </c>
      <c r="R40" s="45" t="s">
        <v>45</v>
      </c>
      <c r="S40" s="45" t="s">
        <v>26</v>
      </c>
      <c r="T40" s="46">
        <f>11562.79/1.22</f>
        <v>9477.6967213114767</v>
      </c>
      <c r="U40" s="45" t="s">
        <v>27</v>
      </c>
      <c r="V40" s="47">
        <f t="shared" si="4"/>
        <v>9477.6967213114767</v>
      </c>
      <c r="W40" s="47">
        <f t="shared" si="5"/>
        <v>208509.32786885247</v>
      </c>
      <c r="X40" s="48">
        <f t="shared" si="6"/>
        <v>8052.4180327868862</v>
      </c>
      <c r="Y40" s="49"/>
      <c r="Z40" s="50">
        <f t="shared" si="7"/>
        <v>8884.5027322404385</v>
      </c>
      <c r="AA40" s="51">
        <f t="shared" si="8"/>
        <v>-9.3655742423720625</v>
      </c>
      <c r="AB40" s="50">
        <f t="shared" si="9"/>
        <v>177153.19672131148</v>
      </c>
    </row>
    <row r="41" spans="1:28" ht="25.5" x14ac:dyDescent="0.25">
      <c r="A41" s="40">
        <v>32</v>
      </c>
      <c r="B41" s="41" t="s">
        <v>73</v>
      </c>
      <c r="C41" s="42" t="s">
        <v>74</v>
      </c>
      <c r="D41" s="44" t="s">
        <v>32</v>
      </c>
      <c r="E41" s="44">
        <v>318</v>
      </c>
      <c r="F41" s="45" t="s">
        <v>75</v>
      </c>
      <c r="G41" s="45" t="s">
        <v>26</v>
      </c>
      <c r="H41" s="46">
        <f>1800/1.22</f>
        <v>1475.4098360655737</v>
      </c>
      <c r="I41" s="45" t="s">
        <v>27</v>
      </c>
      <c r="J41" s="47">
        <f t="shared" si="0"/>
        <v>1475.4098360655737</v>
      </c>
      <c r="K41" s="47">
        <f t="shared" si="1"/>
        <v>469180.32786885242</v>
      </c>
      <c r="L41" s="45" t="s">
        <v>76</v>
      </c>
      <c r="M41" s="45" t="s">
        <v>26</v>
      </c>
      <c r="N41" s="46">
        <f>1890/1.22</f>
        <v>1549.1803278688526</v>
      </c>
      <c r="O41" s="45" t="s">
        <v>27</v>
      </c>
      <c r="P41" s="47">
        <f t="shared" si="2"/>
        <v>1549.1803278688526</v>
      </c>
      <c r="Q41" s="47">
        <f t="shared" si="3"/>
        <v>492639.34426229511</v>
      </c>
      <c r="R41" s="45" t="s">
        <v>77</v>
      </c>
      <c r="S41" s="45" t="s">
        <v>26</v>
      </c>
      <c r="T41" s="46">
        <f>1980/1.22</f>
        <v>1622.9508196721313</v>
      </c>
      <c r="U41" s="45" t="s">
        <v>27</v>
      </c>
      <c r="V41" s="47">
        <f t="shared" si="4"/>
        <v>1622.9508196721313</v>
      </c>
      <c r="W41" s="47">
        <f t="shared" si="5"/>
        <v>516098.36065573775</v>
      </c>
      <c r="X41" s="48">
        <f t="shared" si="6"/>
        <v>1475.4098360655737</v>
      </c>
      <c r="Y41" s="57"/>
      <c r="Z41" s="50">
        <f t="shared" si="7"/>
        <v>1549.1803278688524</v>
      </c>
      <c r="AA41" s="51">
        <f t="shared" si="8"/>
        <v>-4.7619047619047734</v>
      </c>
      <c r="AB41" s="50">
        <f t="shared" si="9"/>
        <v>469180.32786885242</v>
      </c>
    </row>
    <row r="42" spans="1:28" ht="72.75" customHeight="1" x14ac:dyDescent="0.25">
      <c r="A42" s="53">
        <v>33</v>
      </c>
      <c r="B42" s="41" t="s">
        <v>78</v>
      </c>
      <c r="C42" s="42" t="s">
        <v>47</v>
      </c>
      <c r="D42" s="44" t="s">
        <v>24</v>
      </c>
      <c r="E42" s="44">
        <v>14500</v>
      </c>
      <c r="F42" s="45" t="s">
        <v>49</v>
      </c>
      <c r="G42" s="45" t="s">
        <v>26</v>
      </c>
      <c r="H42" s="46">
        <v>60.47</v>
      </c>
      <c r="I42" s="45" t="s">
        <v>27</v>
      </c>
      <c r="J42" s="47">
        <f t="shared" ref="J42:J73" si="10">H42</f>
        <v>60.47</v>
      </c>
      <c r="K42" s="47">
        <f t="shared" si="1"/>
        <v>876815</v>
      </c>
      <c r="L42" s="45" t="s">
        <v>50</v>
      </c>
      <c r="M42" s="45" t="s">
        <v>26</v>
      </c>
      <c r="N42" s="46">
        <v>61.19</v>
      </c>
      <c r="O42" s="45" t="s">
        <v>27</v>
      </c>
      <c r="P42" s="47">
        <f t="shared" ref="P42:P73" si="11">N42</f>
        <v>61.19</v>
      </c>
      <c r="Q42" s="47">
        <f t="shared" si="3"/>
        <v>887255</v>
      </c>
      <c r="R42" s="45" t="s">
        <v>51</v>
      </c>
      <c r="S42" s="45" t="s">
        <v>26</v>
      </c>
      <c r="T42" s="46">
        <f>77.1/1.22</f>
        <v>63.196721311475407</v>
      </c>
      <c r="U42" s="45" t="s">
        <v>27</v>
      </c>
      <c r="V42" s="47">
        <f t="shared" si="4"/>
        <v>63.196721311475407</v>
      </c>
      <c r="W42" s="47">
        <f t="shared" si="5"/>
        <v>916352.4590163934</v>
      </c>
      <c r="X42" s="48">
        <f t="shared" si="6"/>
        <v>60.47</v>
      </c>
      <c r="Y42" s="58"/>
      <c r="Z42" s="50">
        <f t="shared" si="7"/>
        <v>61.618907103825137</v>
      </c>
      <c r="AA42" s="51">
        <f t="shared" si="8"/>
        <v>-1.8645366460156083</v>
      </c>
      <c r="AB42" s="50">
        <f t="shared" si="9"/>
        <v>876815</v>
      </c>
    </row>
    <row r="43" spans="1:28" ht="54" x14ac:dyDescent="0.25">
      <c r="A43" s="40">
        <v>34</v>
      </c>
      <c r="B43" s="41" t="s">
        <v>79</v>
      </c>
      <c r="C43" s="42" t="s">
        <v>47</v>
      </c>
      <c r="D43" s="44" t="s">
        <v>24</v>
      </c>
      <c r="E43" s="44">
        <v>495</v>
      </c>
      <c r="F43" s="45" t="s">
        <v>49</v>
      </c>
      <c r="G43" s="45" t="s">
        <v>26</v>
      </c>
      <c r="H43" s="46">
        <v>58.92</v>
      </c>
      <c r="I43" s="45" t="s">
        <v>27</v>
      </c>
      <c r="J43" s="47">
        <f t="shared" si="10"/>
        <v>58.92</v>
      </c>
      <c r="K43" s="47">
        <f t="shared" si="1"/>
        <v>29165.4</v>
      </c>
      <c r="L43" s="45" t="s">
        <v>50</v>
      </c>
      <c r="M43" s="45" t="s">
        <v>26</v>
      </c>
      <c r="N43" s="46">
        <v>61.62</v>
      </c>
      <c r="O43" s="45" t="s">
        <v>27</v>
      </c>
      <c r="P43" s="47">
        <f t="shared" si="11"/>
        <v>61.62</v>
      </c>
      <c r="Q43" s="47">
        <f t="shared" si="3"/>
        <v>30501.899999999998</v>
      </c>
      <c r="R43" s="45" t="s">
        <v>51</v>
      </c>
      <c r="S43" s="45" t="s">
        <v>26</v>
      </c>
      <c r="T43" s="46">
        <f>77.81/1.22</f>
        <v>63.778688524590166</v>
      </c>
      <c r="U43" s="45" t="s">
        <v>27</v>
      </c>
      <c r="V43" s="47">
        <f t="shared" si="4"/>
        <v>63.778688524590166</v>
      </c>
      <c r="W43" s="47">
        <f t="shared" si="5"/>
        <v>31570.450819672133</v>
      </c>
      <c r="X43" s="48">
        <f t="shared" si="6"/>
        <v>58.92</v>
      </c>
      <c r="Y43" s="58"/>
      <c r="Z43" s="50">
        <f t="shared" si="7"/>
        <v>61.439562841530055</v>
      </c>
      <c r="AA43" s="51">
        <f t="shared" si="8"/>
        <v>-4.1008801576741689</v>
      </c>
      <c r="AB43" s="50">
        <f t="shared" si="9"/>
        <v>29165.4</v>
      </c>
    </row>
    <row r="44" spans="1:28" ht="25.5" x14ac:dyDescent="0.25">
      <c r="A44" s="40">
        <v>35</v>
      </c>
      <c r="B44" s="41" t="s">
        <v>80</v>
      </c>
      <c r="C44" s="42" t="s">
        <v>47</v>
      </c>
      <c r="D44" s="44" t="s">
        <v>32</v>
      </c>
      <c r="E44" s="44">
        <v>4</v>
      </c>
      <c r="F44" s="45" t="s">
        <v>49</v>
      </c>
      <c r="G44" s="45" t="s">
        <v>26</v>
      </c>
      <c r="H44" s="46">
        <f>3634.36</f>
        <v>3634.36</v>
      </c>
      <c r="I44" s="45" t="s">
        <v>27</v>
      </c>
      <c r="J44" s="47">
        <f t="shared" si="10"/>
        <v>3634.36</v>
      </c>
      <c r="K44" s="47">
        <f t="shared" si="1"/>
        <v>14537.44</v>
      </c>
      <c r="L44" s="45" t="s">
        <v>50</v>
      </c>
      <c r="M44" s="45" t="s">
        <v>26</v>
      </c>
      <c r="N44" s="46">
        <v>3689.97</v>
      </c>
      <c r="O44" s="45" t="s">
        <v>27</v>
      </c>
      <c r="P44" s="47">
        <f t="shared" si="11"/>
        <v>3689.97</v>
      </c>
      <c r="Q44" s="47">
        <f t="shared" si="3"/>
        <v>14759.88</v>
      </c>
      <c r="R44" s="45" t="s">
        <v>51</v>
      </c>
      <c r="S44" s="45" t="s">
        <v>26</v>
      </c>
      <c r="T44" s="46">
        <f>4449.95/1.22</f>
        <v>3647.5</v>
      </c>
      <c r="U44" s="45" t="s">
        <v>27</v>
      </c>
      <c r="V44" s="47">
        <f t="shared" si="4"/>
        <v>3647.5</v>
      </c>
      <c r="W44" s="47">
        <f t="shared" si="5"/>
        <v>14590</v>
      </c>
      <c r="X44" s="48">
        <f t="shared" si="6"/>
        <v>3634.36</v>
      </c>
      <c r="Y44" s="57"/>
      <c r="Z44" s="50">
        <f t="shared" si="7"/>
        <v>3657.2766666666666</v>
      </c>
      <c r="AA44" s="51">
        <f t="shared" si="8"/>
        <v>-0.62660467761530469</v>
      </c>
      <c r="AB44" s="50">
        <f t="shared" si="9"/>
        <v>14537.44</v>
      </c>
    </row>
    <row r="45" spans="1:28" ht="25.5" x14ac:dyDescent="0.25">
      <c r="A45" s="59">
        <v>36</v>
      </c>
      <c r="B45" s="41" t="s">
        <v>81</v>
      </c>
      <c r="C45" s="42" t="s">
        <v>23</v>
      </c>
      <c r="D45" s="44" t="s">
        <v>32</v>
      </c>
      <c r="E45" s="44">
        <v>4066</v>
      </c>
      <c r="F45" s="45" t="s">
        <v>25</v>
      </c>
      <c r="G45" s="45" t="s">
        <v>26</v>
      </c>
      <c r="H45" s="46">
        <v>16.239999999999998</v>
      </c>
      <c r="I45" s="45" t="s">
        <v>27</v>
      </c>
      <c r="J45" s="47">
        <f t="shared" si="10"/>
        <v>16.239999999999998</v>
      </c>
      <c r="K45" s="47">
        <f t="shared" si="1"/>
        <v>66031.839999999997</v>
      </c>
      <c r="L45" s="45" t="s">
        <v>28</v>
      </c>
      <c r="M45" s="45" t="s">
        <v>26</v>
      </c>
      <c r="N45" s="46">
        <v>16.239999999999998</v>
      </c>
      <c r="O45" s="45" t="s">
        <v>27</v>
      </c>
      <c r="P45" s="47">
        <f t="shared" si="11"/>
        <v>16.239999999999998</v>
      </c>
      <c r="Q45" s="47">
        <f t="shared" si="3"/>
        <v>66031.839999999997</v>
      </c>
      <c r="R45" s="45" t="s">
        <v>29</v>
      </c>
      <c r="S45" s="45" t="s">
        <v>26</v>
      </c>
      <c r="T45" s="46">
        <v>17.100000000000001</v>
      </c>
      <c r="U45" s="45" t="s">
        <v>27</v>
      </c>
      <c r="V45" s="47">
        <f t="shared" si="4"/>
        <v>17.100000000000001</v>
      </c>
      <c r="W45" s="47">
        <f t="shared" si="5"/>
        <v>69528.600000000006</v>
      </c>
      <c r="X45" s="48">
        <f t="shared" si="6"/>
        <v>16.239999999999998</v>
      </c>
      <c r="Y45" s="49"/>
      <c r="Z45" s="50">
        <f t="shared" si="7"/>
        <v>16.526666666666667</v>
      </c>
      <c r="AA45" s="51">
        <f t="shared" si="8"/>
        <v>-1.7345703912868231</v>
      </c>
      <c r="AB45" s="50">
        <f t="shared" si="9"/>
        <v>66031.839999999997</v>
      </c>
    </row>
    <row r="46" spans="1:28" ht="25.5" x14ac:dyDescent="0.25">
      <c r="A46" s="56">
        <v>37</v>
      </c>
      <c r="B46" s="41" t="s">
        <v>82</v>
      </c>
      <c r="C46" s="42" t="s">
        <v>23</v>
      </c>
      <c r="D46" s="44" t="s">
        <v>32</v>
      </c>
      <c r="E46" s="44">
        <v>8206</v>
      </c>
      <c r="F46" s="45" t="s">
        <v>25</v>
      </c>
      <c r="G46" s="45" t="s">
        <v>26</v>
      </c>
      <c r="H46" s="46">
        <v>15.92</v>
      </c>
      <c r="I46" s="45" t="s">
        <v>27</v>
      </c>
      <c r="J46" s="47">
        <f t="shared" si="10"/>
        <v>15.92</v>
      </c>
      <c r="K46" s="47">
        <f t="shared" si="1"/>
        <v>130639.52</v>
      </c>
      <c r="L46" s="45" t="s">
        <v>28</v>
      </c>
      <c r="M46" s="45" t="s">
        <v>26</v>
      </c>
      <c r="N46" s="46">
        <v>16</v>
      </c>
      <c r="O46" s="45" t="s">
        <v>27</v>
      </c>
      <c r="P46" s="47">
        <f t="shared" si="11"/>
        <v>16</v>
      </c>
      <c r="Q46" s="47">
        <f t="shared" si="3"/>
        <v>131296</v>
      </c>
      <c r="R46" s="45" t="s">
        <v>29</v>
      </c>
      <c r="S46" s="45" t="s">
        <v>26</v>
      </c>
      <c r="T46" s="46">
        <v>16.760000000000002</v>
      </c>
      <c r="U46" s="45" t="s">
        <v>27</v>
      </c>
      <c r="V46" s="47">
        <f t="shared" si="4"/>
        <v>16.760000000000002</v>
      </c>
      <c r="W46" s="47">
        <f t="shared" si="5"/>
        <v>137532.56000000003</v>
      </c>
      <c r="X46" s="48">
        <f t="shared" si="6"/>
        <v>15.92</v>
      </c>
      <c r="Y46" s="49"/>
      <c r="Z46" s="50">
        <f t="shared" si="7"/>
        <v>16.22666666666667</v>
      </c>
      <c r="AA46" s="51">
        <f t="shared" si="8"/>
        <v>-1.8898931799507181</v>
      </c>
      <c r="AB46" s="50">
        <f t="shared" si="9"/>
        <v>130639.52</v>
      </c>
    </row>
    <row r="47" spans="1:28" ht="25.5" x14ac:dyDescent="0.25">
      <c r="A47" s="56">
        <v>38</v>
      </c>
      <c r="B47" s="41" t="s">
        <v>83</v>
      </c>
      <c r="C47" s="42" t="s">
        <v>23</v>
      </c>
      <c r="D47" s="44" t="s">
        <v>32</v>
      </c>
      <c r="E47" s="44">
        <v>709</v>
      </c>
      <c r="F47" s="45" t="s">
        <v>25</v>
      </c>
      <c r="G47" s="45" t="s">
        <v>26</v>
      </c>
      <c r="H47" s="46">
        <v>5</v>
      </c>
      <c r="I47" s="45" t="s">
        <v>27</v>
      </c>
      <c r="J47" s="47">
        <f t="shared" si="10"/>
        <v>5</v>
      </c>
      <c r="K47" s="47">
        <f t="shared" si="1"/>
        <v>3545</v>
      </c>
      <c r="L47" s="45" t="s">
        <v>28</v>
      </c>
      <c r="M47" s="45" t="s">
        <v>26</v>
      </c>
      <c r="N47" s="46">
        <v>5</v>
      </c>
      <c r="O47" s="45" t="s">
        <v>27</v>
      </c>
      <c r="P47" s="47">
        <f t="shared" si="11"/>
        <v>5</v>
      </c>
      <c r="Q47" s="47">
        <f t="shared" si="3"/>
        <v>3545</v>
      </c>
      <c r="R47" s="45" t="s">
        <v>29</v>
      </c>
      <c r="S47" s="45" t="s">
        <v>26</v>
      </c>
      <c r="T47" s="46">
        <v>5.27</v>
      </c>
      <c r="U47" s="45" t="s">
        <v>27</v>
      </c>
      <c r="V47" s="47">
        <f t="shared" si="4"/>
        <v>5.27</v>
      </c>
      <c r="W47" s="47">
        <f t="shared" si="5"/>
        <v>3736.43</v>
      </c>
      <c r="X47" s="48">
        <f t="shared" si="6"/>
        <v>5</v>
      </c>
      <c r="Y47" s="54"/>
      <c r="Z47" s="50">
        <f t="shared" si="7"/>
        <v>5.09</v>
      </c>
      <c r="AA47" s="51">
        <f t="shared" si="8"/>
        <v>-1.7681728880157124</v>
      </c>
      <c r="AB47" s="50">
        <f t="shared" si="9"/>
        <v>3545</v>
      </c>
    </row>
    <row r="48" spans="1:28" ht="25.5" x14ac:dyDescent="0.25">
      <c r="A48" s="59">
        <v>39</v>
      </c>
      <c r="B48" s="41" t="s">
        <v>84</v>
      </c>
      <c r="C48" s="42" t="s">
        <v>23</v>
      </c>
      <c r="D48" s="44" t="s">
        <v>32</v>
      </c>
      <c r="E48" s="44">
        <v>2</v>
      </c>
      <c r="F48" s="45" t="s">
        <v>25</v>
      </c>
      <c r="G48" s="45" t="s">
        <v>26</v>
      </c>
      <c r="H48" s="46">
        <v>21.13</v>
      </c>
      <c r="I48" s="45" t="s">
        <v>27</v>
      </c>
      <c r="J48" s="47">
        <f t="shared" si="10"/>
        <v>21.13</v>
      </c>
      <c r="K48" s="47">
        <f t="shared" si="1"/>
        <v>42.26</v>
      </c>
      <c r="L48" s="45" t="s">
        <v>28</v>
      </c>
      <c r="M48" s="45" t="s">
        <v>26</v>
      </c>
      <c r="N48" s="46">
        <v>21.5</v>
      </c>
      <c r="O48" s="45" t="s">
        <v>27</v>
      </c>
      <c r="P48" s="47">
        <f t="shared" si="11"/>
        <v>21.5</v>
      </c>
      <c r="Q48" s="47">
        <f t="shared" si="3"/>
        <v>43</v>
      </c>
      <c r="R48" s="45" t="s">
        <v>29</v>
      </c>
      <c r="S48" s="45" t="s">
        <v>26</v>
      </c>
      <c r="T48" s="46">
        <v>22.24</v>
      </c>
      <c r="U48" s="45" t="s">
        <v>27</v>
      </c>
      <c r="V48" s="47">
        <f t="shared" si="4"/>
        <v>22.24</v>
      </c>
      <c r="W48" s="47">
        <f t="shared" si="5"/>
        <v>44.48</v>
      </c>
      <c r="X48" s="48">
        <f t="shared" si="6"/>
        <v>21.13</v>
      </c>
      <c r="Y48" s="49"/>
      <c r="Z48" s="50">
        <f t="shared" si="7"/>
        <v>21.623333333333331</v>
      </c>
      <c r="AA48" s="51">
        <f t="shared" si="8"/>
        <v>-2.2814860490211117</v>
      </c>
      <c r="AB48" s="50">
        <f t="shared" si="9"/>
        <v>42.26</v>
      </c>
    </row>
    <row r="49" spans="1:28" ht="25.5" x14ac:dyDescent="0.25">
      <c r="A49" s="56">
        <v>40</v>
      </c>
      <c r="B49" s="41" t="s">
        <v>85</v>
      </c>
      <c r="C49" s="42" t="s">
        <v>23</v>
      </c>
      <c r="D49" s="44" t="s">
        <v>32</v>
      </c>
      <c r="E49" s="44">
        <v>2</v>
      </c>
      <c r="F49" s="45" t="s">
        <v>25</v>
      </c>
      <c r="G49" s="45" t="s">
        <v>26</v>
      </c>
      <c r="H49" s="46">
        <v>21.68</v>
      </c>
      <c r="I49" s="45" t="s">
        <v>27</v>
      </c>
      <c r="J49" s="47">
        <f t="shared" si="10"/>
        <v>21.68</v>
      </c>
      <c r="K49" s="47">
        <f t="shared" si="1"/>
        <v>43.36</v>
      </c>
      <c r="L49" s="45" t="s">
        <v>28</v>
      </c>
      <c r="M49" s="45" t="s">
        <v>26</v>
      </c>
      <c r="N49" s="46">
        <v>22</v>
      </c>
      <c r="O49" s="45" t="s">
        <v>27</v>
      </c>
      <c r="P49" s="47">
        <f t="shared" si="11"/>
        <v>22</v>
      </c>
      <c r="Q49" s="47">
        <f t="shared" si="3"/>
        <v>44</v>
      </c>
      <c r="R49" s="45" t="s">
        <v>29</v>
      </c>
      <c r="S49" s="45" t="s">
        <v>26</v>
      </c>
      <c r="T49" s="46">
        <v>22.83</v>
      </c>
      <c r="U49" s="45" t="s">
        <v>27</v>
      </c>
      <c r="V49" s="47">
        <f t="shared" si="4"/>
        <v>22.83</v>
      </c>
      <c r="W49" s="47">
        <f t="shared" si="5"/>
        <v>45.66</v>
      </c>
      <c r="X49" s="48">
        <f t="shared" si="6"/>
        <v>21.68</v>
      </c>
      <c r="Y49" s="49"/>
      <c r="Z49" s="50">
        <f t="shared" si="7"/>
        <v>22.169999999999998</v>
      </c>
      <c r="AA49" s="51">
        <f t="shared" si="8"/>
        <v>-2.2101939557961146</v>
      </c>
      <c r="AB49" s="50">
        <f t="shared" si="9"/>
        <v>43.36</v>
      </c>
    </row>
    <row r="50" spans="1:28" ht="25.5" x14ac:dyDescent="0.25">
      <c r="A50" s="56">
        <v>41</v>
      </c>
      <c r="B50" s="41" t="s">
        <v>86</v>
      </c>
      <c r="C50" s="42" t="s">
        <v>23</v>
      </c>
      <c r="D50" s="44" t="s">
        <v>32</v>
      </c>
      <c r="E50" s="44">
        <v>2</v>
      </c>
      <c r="F50" s="45" t="s">
        <v>25</v>
      </c>
      <c r="G50" s="45" t="s">
        <v>26</v>
      </c>
      <c r="H50" s="46">
        <v>145.63999999999999</v>
      </c>
      <c r="I50" s="45" t="s">
        <v>27</v>
      </c>
      <c r="J50" s="47">
        <f t="shared" si="10"/>
        <v>145.63999999999999</v>
      </c>
      <c r="K50" s="47">
        <f t="shared" si="1"/>
        <v>291.27999999999997</v>
      </c>
      <c r="L50" s="45" t="s">
        <v>28</v>
      </c>
      <c r="M50" s="45" t="s">
        <v>26</v>
      </c>
      <c r="N50" s="46">
        <v>146</v>
      </c>
      <c r="O50" s="45" t="s">
        <v>27</v>
      </c>
      <c r="P50" s="47">
        <f t="shared" si="11"/>
        <v>146</v>
      </c>
      <c r="Q50" s="47">
        <f t="shared" si="3"/>
        <v>292</v>
      </c>
      <c r="R50" s="45" t="s">
        <v>29</v>
      </c>
      <c r="S50" s="45" t="s">
        <v>26</v>
      </c>
      <c r="T50" s="46">
        <v>153.31</v>
      </c>
      <c r="U50" s="45" t="s">
        <v>27</v>
      </c>
      <c r="V50" s="47">
        <f t="shared" si="4"/>
        <v>153.31</v>
      </c>
      <c r="W50" s="47">
        <f t="shared" si="5"/>
        <v>306.62</v>
      </c>
      <c r="X50" s="48">
        <f t="shared" si="6"/>
        <v>145.63999999999999</v>
      </c>
      <c r="Y50" s="54"/>
      <c r="Z50" s="50">
        <f t="shared" si="7"/>
        <v>148.31666666666666</v>
      </c>
      <c r="AA50" s="51">
        <f t="shared" si="8"/>
        <v>-1.8046971569839343</v>
      </c>
      <c r="AB50" s="50">
        <f t="shared" si="9"/>
        <v>291.27999999999997</v>
      </c>
    </row>
    <row r="51" spans="1:28" ht="25.5" x14ac:dyDescent="0.25">
      <c r="A51" s="53">
        <v>42</v>
      </c>
      <c r="B51" s="41" t="s">
        <v>87</v>
      </c>
      <c r="C51" s="42" t="s">
        <v>47</v>
      </c>
      <c r="D51" s="44" t="s">
        <v>32</v>
      </c>
      <c r="E51" s="44">
        <v>1030</v>
      </c>
      <c r="F51" s="45" t="s">
        <v>49</v>
      </c>
      <c r="G51" s="45" t="s">
        <v>26</v>
      </c>
      <c r="H51" s="46">
        <f>152.23</f>
        <v>152.22999999999999</v>
      </c>
      <c r="I51" s="45" t="s">
        <v>27</v>
      </c>
      <c r="J51" s="47">
        <f t="shared" si="10"/>
        <v>152.22999999999999</v>
      </c>
      <c r="K51" s="47">
        <f t="shared" si="1"/>
        <v>156796.9</v>
      </c>
      <c r="L51" s="45" t="s">
        <v>50</v>
      </c>
      <c r="M51" s="45" t="s">
        <v>26</v>
      </c>
      <c r="N51" s="46">
        <v>160.05000000000001</v>
      </c>
      <c r="O51" s="45" t="s">
        <v>27</v>
      </c>
      <c r="P51" s="47">
        <f t="shared" si="11"/>
        <v>160.05000000000001</v>
      </c>
      <c r="Q51" s="47">
        <f t="shared" si="3"/>
        <v>164851.5</v>
      </c>
      <c r="R51" s="45" t="s">
        <v>51</v>
      </c>
      <c r="S51" s="45" t="s">
        <v>26</v>
      </c>
      <c r="T51" s="46">
        <f>217.47/1.22</f>
        <v>178.25409836065575</v>
      </c>
      <c r="U51" s="45" t="s">
        <v>27</v>
      </c>
      <c r="V51" s="47">
        <f t="shared" si="4"/>
        <v>178.25409836065575</v>
      </c>
      <c r="W51" s="47">
        <f t="shared" si="5"/>
        <v>183601.72131147541</v>
      </c>
      <c r="X51" s="48">
        <f t="shared" si="6"/>
        <v>152.22999999999999</v>
      </c>
      <c r="Y51" s="49"/>
      <c r="Z51" s="50">
        <f t="shared" si="7"/>
        <v>163.51136612021858</v>
      </c>
      <c r="AA51" s="51">
        <f t="shared" si="8"/>
        <v>-6.899438484248364</v>
      </c>
      <c r="AB51" s="50">
        <f t="shared" si="9"/>
        <v>156796.9</v>
      </c>
    </row>
    <row r="52" spans="1:28" ht="25.5" x14ac:dyDescent="0.25">
      <c r="A52" s="40">
        <v>43</v>
      </c>
      <c r="B52" s="41" t="s">
        <v>88</v>
      </c>
      <c r="C52" s="42" t="s">
        <v>47</v>
      </c>
      <c r="D52" s="44" t="s">
        <v>32</v>
      </c>
      <c r="E52" s="44">
        <v>146</v>
      </c>
      <c r="F52" s="45" t="s">
        <v>49</v>
      </c>
      <c r="G52" s="45" t="s">
        <v>26</v>
      </c>
      <c r="H52" s="46">
        <f>475.59</f>
        <v>475.59</v>
      </c>
      <c r="I52" s="45" t="s">
        <v>27</v>
      </c>
      <c r="J52" s="47">
        <f t="shared" si="10"/>
        <v>475.59</v>
      </c>
      <c r="K52" s="47">
        <f t="shared" si="1"/>
        <v>69436.14</v>
      </c>
      <c r="L52" s="45" t="s">
        <v>50</v>
      </c>
      <c r="M52" s="45" t="s">
        <v>26</v>
      </c>
      <c r="N52" s="46">
        <v>483.29</v>
      </c>
      <c r="O52" s="45" t="s">
        <v>27</v>
      </c>
      <c r="P52" s="47">
        <f t="shared" si="11"/>
        <v>483.29</v>
      </c>
      <c r="Q52" s="47">
        <f t="shared" si="3"/>
        <v>70560.34</v>
      </c>
      <c r="R52" s="45" t="s">
        <v>51</v>
      </c>
      <c r="S52" s="45" t="s">
        <v>26</v>
      </c>
      <c r="T52" s="46">
        <f>594.82/1.22</f>
        <v>487.55737704918039</v>
      </c>
      <c r="U52" s="45" t="s">
        <v>27</v>
      </c>
      <c r="V52" s="47">
        <f t="shared" si="4"/>
        <v>487.55737704918039</v>
      </c>
      <c r="W52" s="47">
        <f t="shared" si="5"/>
        <v>71183.37704918033</v>
      </c>
      <c r="X52" s="48">
        <f t="shared" si="6"/>
        <v>475.59</v>
      </c>
      <c r="Y52" s="49"/>
      <c r="Z52" s="50">
        <f t="shared" si="7"/>
        <v>482.14579234972683</v>
      </c>
      <c r="AA52" s="51">
        <f t="shared" si="8"/>
        <v>-1.3597116170561918</v>
      </c>
      <c r="AB52" s="50">
        <f t="shared" si="9"/>
        <v>69436.14</v>
      </c>
    </row>
    <row r="53" spans="1:28" ht="25.5" x14ac:dyDescent="0.25">
      <c r="A53" s="40">
        <v>44</v>
      </c>
      <c r="B53" s="41" t="s">
        <v>89</v>
      </c>
      <c r="C53" s="42" t="s">
        <v>47</v>
      </c>
      <c r="D53" s="44" t="s">
        <v>32</v>
      </c>
      <c r="E53" s="44">
        <v>34</v>
      </c>
      <c r="F53" s="45" t="s">
        <v>49</v>
      </c>
      <c r="G53" s="45" t="s">
        <v>26</v>
      </c>
      <c r="H53" s="46">
        <v>18.38</v>
      </c>
      <c r="I53" s="45" t="s">
        <v>27</v>
      </c>
      <c r="J53" s="47">
        <f t="shared" si="10"/>
        <v>18.38</v>
      </c>
      <c r="K53" s="47">
        <f t="shared" si="1"/>
        <v>624.91999999999996</v>
      </c>
      <c r="L53" s="45" t="s">
        <v>50</v>
      </c>
      <c r="M53" s="45" t="s">
        <v>26</v>
      </c>
      <c r="N53" s="46">
        <v>19.600000000000001</v>
      </c>
      <c r="O53" s="45" t="s">
        <v>27</v>
      </c>
      <c r="P53" s="47">
        <f t="shared" si="11"/>
        <v>19.600000000000001</v>
      </c>
      <c r="Q53" s="47">
        <f t="shared" si="3"/>
        <v>666.40000000000009</v>
      </c>
      <c r="R53" s="45" t="s">
        <v>51</v>
      </c>
      <c r="S53" s="45" t="s">
        <v>26</v>
      </c>
      <c r="T53" s="46">
        <f>24.41/1.22</f>
        <v>20.008196721311474</v>
      </c>
      <c r="U53" s="45" t="s">
        <v>27</v>
      </c>
      <c r="V53" s="47">
        <f t="shared" si="4"/>
        <v>20.008196721311474</v>
      </c>
      <c r="W53" s="47">
        <f t="shared" si="5"/>
        <v>680.27868852459017</v>
      </c>
      <c r="X53" s="48">
        <f t="shared" si="6"/>
        <v>18.38</v>
      </c>
      <c r="Y53" s="57"/>
      <c r="Z53" s="50">
        <f t="shared" si="7"/>
        <v>19.329398907103826</v>
      </c>
      <c r="AA53" s="51">
        <f t="shared" si="8"/>
        <v>-4.9116835534648118</v>
      </c>
      <c r="AB53" s="50">
        <f t="shared" si="9"/>
        <v>624.91999999999996</v>
      </c>
    </row>
    <row r="54" spans="1:28" ht="27" x14ac:dyDescent="0.25">
      <c r="A54" s="53">
        <v>45</v>
      </c>
      <c r="B54" s="60" t="s">
        <v>90</v>
      </c>
      <c r="C54" s="61" t="s">
        <v>91</v>
      </c>
      <c r="D54" s="62" t="s">
        <v>32</v>
      </c>
      <c r="E54" s="62">
        <v>4</v>
      </c>
      <c r="F54" s="63" t="s">
        <v>92</v>
      </c>
      <c r="G54" s="63" t="s">
        <v>93</v>
      </c>
      <c r="H54" s="46">
        <f>220000/1.22</f>
        <v>180327.86885245901</v>
      </c>
      <c r="I54" s="45" t="s">
        <v>27</v>
      </c>
      <c r="J54" s="47">
        <f t="shared" si="10"/>
        <v>180327.86885245901</v>
      </c>
      <c r="K54" s="47">
        <f t="shared" si="1"/>
        <v>721311.47540983604</v>
      </c>
      <c r="L54" s="45" t="s">
        <v>94</v>
      </c>
      <c r="M54" s="45" t="s">
        <v>93</v>
      </c>
      <c r="N54" s="46">
        <f>242000*0.95</f>
        <v>229900</v>
      </c>
      <c r="O54" s="45" t="s">
        <v>27</v>
      </c>
      <c r="P54" s="47">
        <f t="shared" si="11"/>
        <v>229900</v>
      </c>
      <c r="Q54" s="47">
        <f t="shared" si="3"/>
        <v>919600</v>
      </c>
      <c r="R54" s="45" t="s">
        <v>95</v>
      </c>
      <c r="S54" s="45" t="s">
        <v>93</v>
      </c>
      <c r="T54" s="46">
        <f>236985/1.22</f>
        <v>194250</v>
      </c>
      <c r="U54" s="45" t="s">
        <v>27</v>
      </c>
      <c r="V54" s="47">
        <f t="shared" si="4"/>
        <v>194250</v>
      </c>
      <c r="W54" s="47">
        <f t="shared" si="5"/>
        <v>777000</v>
      </c>
      <c r="X54" s="48">
        <f t="shared" si="6"/>
        <v>180327.86885245901</v>
      </c>
      <c r="Y54" s="49"/>
      <c r="Z54" s="50">
        <f t="shared" si="7"/>
        <v>201492.62295081967</v>
      </c>
      <c r="AA54" s="51">
        <f t="shared" si="8"/>
        <v>-10.50398460668535</v>
      </c>
      <c r="AB54" s="50">
        <f t="shared" si="9"/>
        <v>721311.47540983604</v>
      </c>
    </row>
    <row r="55" spans="1:28" ht="27" x14ac:dyDescent="0.25">
      <c r="A55" s="40">
        <v>46</v>
      </c>
      <c r="B55" s="60" t="s">
        <v>96</v>
      </c>
      <c r="C55" s="61" t="s">
        <v>91</v>
      </c>
      <c r="D55" s="62" t="s">
        <v>32</v>
      </c>
      <c r="E55" s="62">
        <v>7</v>
      </c>
      <c r="F55" s="63" t="s">
        <v>92</v>
      </c>
      <c r="G55" s="63" t="s">
        <v>93</v>
      </c>
      <c r="H55" s="46">
        <f>250000/1.22</f>
        <v>204918.03278688525</v>
      </c>
      <c r="I55" s="45" t="s">
        <v>27</v>
      </c>
      <c r="J55" s="47">
        <f t="shared" si="10"/>
        <v>204918.03278688525</v>
      </c>
      <c r="K55" s="47">
        <f t="shared" si="1"/>
        <v>1434426.2295081967</v>
      </c>
      <c r="L55" s="45" t="s">
        <v>94</v>
      </c>
      <c r="M55" s="45" t="s">
        <v>93</v>
      </c>
      <c r="N55" s="46">
        <f>275000*0.95</f>
        <v>261250</v>
      </c>
      <c r="O55" s="45" t="s">
        <v>27</v>
      </c>
      <c r="P55" s="47">
        <f t="shared" si="11"/>
        <v>261250</v>
      </c>
      <c r="Q55" s="47">
        <f t="shared" si="3"/>
        <v>1828750</v>
      </c>
      <c r="R55" s="45" t="s">
        <v>95</v>
      </c>
      <c r="S55" s="45" t="s">
        <v>93</v>
      </c>
      <c r="T55" s="46">
        <f>269010/1.22</f>
        <v>220500</v>
      </c>
      <c r="U55" s="45" t="s">
        <v>27</v>
      </c>
      <c r="V55" s="47">
        <f t="shared" si="4"/>
        <v>220500</v>
      </c>
      <c r="W55" s="47">
        <f t="shared" si="5"/>
        <v>1543500</v>
      </c>
      <c r="X55" s="48">
        <f t="shared" si="6"/>
        <v>204918.03278688525</v>
      </c>
      <c r="Y55" s="49"/>
      <c r="Z55" s="50">
        <f t="shared" si="7"/>
        <v>228889.34426229508</v>
      </c>
      <c r="AA55" s="51">
        <f t="shared" si="8"/>
        <v>-10.472882236029292</v>
      </c>
      <c r="AB55" s="50">
        <f t="shared" si="9"/>
        <v>1434426.2295081967</v>
      </c>
    </row>
    <row r="56" spans="1:28" ht="25.5" x14ac:dyDescent="0.25">
      <c r="A56" s="56">
        <v>47</v>
      </c>
      <c r="B56" s="41" t="s">
        <v>97</v>
      </c>
      <c r="C56" s="42" t="s">
        <v>23</v>
      </c>
      <c r="D56" s="44" t="s">
        <v>32</v>
      </c>
      <c r="E56" s="44">
        <v>82</v>
      </c>
      <c r="F56" s="45" t="s">
        <v>25</v>
      </c>
      <c r="G56" s="45" t="s">
        <v>26</v>
      </c>
      <c r="H56" s="46">
        <v>99.65</v>
      </c>
      <c r="I56" s="45" t="s">
        <v>27</v>
      </c>
      <c r="J56" s="47">
        <f t="shared" si="10"/>
        <v>99.65</v>
      </c>
      <c r="K56" s="47">
        <f t="shared" si="1"/>
        <v>8171.3</v>
      </c>
      <c r="L56" s="45" t="s">
        <v>28</v>
      </c>
      <c r="M56" s="45" t="s">
        <v>26</v>
      </c>
      <c r="N56" s="46">
        <v>100</v>
      </c>
      <c r="O56" s="45" t="s">
        <v>27</v>
      </c>
      <c r="P56" s="47">
        <f t="shared" si="11"/>
        <v>100</v>
      </c>
      <c r="Q56" s="47">
        <f t="shared" si="3"/>
        <v>8200</v>
      </c>
      <c r="R56" s="45" t="s">
        <v>29</v>
      </c>
      <c r="S56" s="45" t="s">
        <v>26</v>
      </c>
      <c r="T56" s="46">
        <v>104.9</v>
      </c>
      <c r="U56" s="45" t="s">
        <v>27</v>
      </c>
      <c r="V56" s="47">
        <f t="shared" si="4"/>
        <v>104.9</v>
      </c>
      <c r="W56" s="47">
        <f t="shared" si="5"/>
        <v>8601.8000000000011</v>
      </c>
      <c r="X56" s="48">
        <f t="shared" si="6"/>
        <v>99.65</v>
      </c>
      <c r="Y56" s="54"/>
      <c r="Z56" s="50">
        <f t="shared" si="7"/>
        <v>101.51666666666667</v>
      </c>
      <c r="AA56" s="51">
        <f t="shared" si="8"/>
        <v>-1.8387785256936411</v>
      </c>
      <c r="AB56" s="50">
        <f t="shared" si="9"/>
        <v>8171.3</v>
      </c>
    </row>
    <row r="57" spans="1:28" ht="25.5" x14ac:dyDescent="0.25">
      <c r="A57" s="59">
        <v>48</v>
      </c>
      <c r="B57" s="41" t="s">
        <v>98</v>
      </c>
      <c r="C57" s="42" t="s">
        <v>23</v>
      </c>
      <c r="D57" s="44" t="s">
        <v>32</v>
      </c>
      <c r="E57" s="44">
        <v>64</v>
      </c>
      <c r="F57" s="45" t="s">
        <v>25</v>
      </c>
      <c r="G57" s="45" t="s">
        <v>26</v>
      </c>
      <c r="H57" s="46">
        <v>42.36</v>
      </c>
      <c r="I57" s="45" t="s">
        <v>27</v>
      </c>
      <c r="J57" s="47">
        <f t="shared" si="10"/>
        <v>42.36</v>
      </c>
      <c r="K57" s="47">
        <f t="shared" si="1"/>
        <v>2711.04</v>
      </c>
      <c r="L57" s="45" t="s">
        <v>28</v>
      </c>
      <c r="M57" s="45" t="s">
        <v>26</v>
      </c>
      <c r="N57" s="46">
        <v>42.5</v>
      </c>
      <c r="O57" s="45" t="s">
        <v>27</v>
      </c>
      <c r="P57" s="47">
        <f t="shared" si="11"/>
        <v>42.5</v>
      </c>
      <c r="Q57" s="47">
        <f t="shared" si="3"/>
        <v>2720</v>
      </c>
      <c r="R57" s="45" t="s">
        <v>29</v>
      </c>
      <c r="S57" s="45" t="s">
        <v>26</v>
      </c>
      <c r="T57" s="46">
        <v>44.59</v>
      </c>
      <c r="U57" s="45" t="s">
        <v>27</v>
      </c>
      <c r="V57" s="47">
        <f t="shared" si="4"/>
        <v>44.59</v>
      </c>
      <c r="W57" s="47">
        <f t="shared" si="5"/>
        <v>2853.76</v>
      </c>
      <c r="X57" s="48">
        <f t="shared" si="6"/>
        <v>42.36</v>
      </c>
      <c r="Y57" s="49"/>
      <c r="Z57" s="50">
        <f t="shared" si="7"/>
        <v>43.15</v>
      </c>
      <c r="AA57" s="51">
        <f t="shared" si="8"/>
        <v>-1.8308227114716118</v>
      </c>
      <c r="AB57" s="50">
        <f t="shared" si="9"/>
        <v>2711.04</v>
      </c>
    </row>
    <row r="58" spans="1:28" ht="25.5" x14ac:dyDescent="0.25">
      <c r="A58" s="40">
        <v>49</v>
      </c>
      <c r="B58" s="41" t="s">
        <v>99</v>
      </c>
      <c r="C58" s="42" t="s">
        <v>47</v>
      </c>
      <c r="D58" s="44" t="s">
        <v>32</v>
      </c>
      <c r="E58" s="44">
        <v>2</v>
      </c>
      <c r="F58" s="45" t="s">
        <v>49</v>
      </c>
      <c r="G58" s="45" t="s">
        <v>26</v>
      </c>
      <c r="H58" s="46">
        <v>4505.0600000000004</v>
      </c>
      <c r="I58" s="45" t="s">
        <v>27</v>
      </c>
      <c r="J58" s="47">
        <f t="shared" si="10"/>
        <v>4505.0600000000004</v>
      </c>
      <c r="K58" s="47">
        <f t="shared" si="1"/>
        <v>9010.1200000000008</v>
      </c>
      <c r="L58" s="45" t="s">
        <v>50</v>
      </c>
      <c r="M58" s="45" t="s">
        <v>26</v>
      </c>
      <c r="N58" s="46">
        <v>4549.12</v>
      </c>
      <c r="O58" s="45" t="s">
        <v>27</v>
      </c>
      <c r="P58" s="47">
        <f t="shared" si="11"/>
        <v>4549.12</v>
      </c>
      <c r="Q58" s="47">
        <f t="shared" si="3"/>
        <v>9098.24</v>
      </c>
      <c r="R58" s="45" t="s">
        <v>51</v>
      </c>
      <c r="S58" s="45" t="s">
        <v>26</v>
      </c>
      <c r="T58" s="46">
        <f>5501.64/1.22</f>
        <v>4509.5409836065573</v>
      </c>
      <c r="U58" s="45" t="s">
        <v>27</v>
      </c>
      <c r="V58" s="47">
        <f t="shared" si="4"/>
        <v>4509.5409836065573</v>
      </c>
      <c r="W58" s="47">
        <f t="shared" si="5"/>
        <v>9019.0819672131147</v>
      </c>
      <c r="X58" s="48">
        <f t="shared" si="6"/>
        <v>4505.0600000000004</v>
      </c>
      <c r="Y58" s="49"/>
      <c r="Z58" s="50">
        <f t="shared" si="7"/>
        <v>4521.2403278688525</v>
      </c>
      <c r="AA58" s="51">
        <f t="shared" si="8"/>
        <v>-0.35787365181887765</v>
      </c>
      <c r="AB58" s="50">
        <f t="shared" si="9"/>
        <v>9010.1200000000008</v>
      </c>
    </row>
    <row r="59" spans="1:28" ht="25.5" x14ac:dyDescent="0.25">
      <c r="A59" s="40">
        <v>50</v>
      </c>
      <c r="B59" s="41" t="s">
        <v>100</v>
      </c>
      <c r="C59" s="42" t="s">
        <v>47</v>
      </c>
      <c r="D59" s="44" t="s">
        <v>32</v>
      </c>
      <c r="E59" s="44">
        <v>4</v>
      </c>
      <c r="F59" s="45" t="s">
        <v>49</v>
      </c>
      <c r="G59" s="45" t="s">
        <v>26</v>
      </c>
      <c r="H59" s="46">
        <f>5834.25</f>
        <v>5834.25</v>
      </c>
      <c r="I59" s="45" t="s">
        <v>27</v>
      </c>
      <c r="J59" s="47">
        <f t="shared" si="10"/>
        <v>5834.25</v>
      </c>
      <c r="K59" s="47">
        <f t="shared" si="1"/>
        <v>23337</v>
      </c>
      <c r="L59" s="45" t="s">
        <v>50</v>
      </c>
      <c r="M59" s="45" t="s">
        <v>26</v>
      </c>
      <c r="N59" s="46">
        <v>5894.26</v>
      </c>
      <c r="O59" s="45" t="s">
        <v>27</v>
      </c>
      <c r="P59" s="47">
        <f t="shared" si="11"/>
        <v>5894.26</v>
      </c>
      <c r="Q59" s="47">
        <f t="shared" si="3"/>
        <v>23577.040000000001</v>
      </c>
      <c r="R59" s="45" t="s">
        <v>51</v>
      </c>
      <c r="S59" s="45" t="s">
        <v>26</v>
      </c>
      <c r="T59" s="46">
        <f>7130.77/1.22</f>
        <v>5844.8934426229516</v>
      </c>
      <c r="U59" s="45" t="s">
        <v>27</v>
      </c>
      <c r="V59" s="47">
        <f t="shared" si="4"/>
        <v>5844.8934426229516</v>
      </c>
      <c r="W59" s="47">
        <f t="shared" si="5"/>
        <v>23379.573770491806</v>
      </c>
      <c r="X59" s="48">
        <f t="shared" si="6"/>
        <v>5834.25</v>
      </c>
      <c r="Y59" s="58"/>
      <c r="Z59" s="50">
        <f t="shared" si="7"/>
        <v>5857.8011475409839</v>
      </c>
      <c r="AA59" s="51">
        <f t="shared" si="8"/>
        <v>-0.40204757634816701</v>
      </c>
      <c r="AB59" s="50">
        <f t="shared" si="9"/>
        <v>23337</v>
      </c>
    </row>
    <row r="60" spans="1:28" ht="40.5" x14ac:dyDescent="0.25">
      <c r="A60" s="53">
        <v>51</v>
      </c>
      <c r="B60" s="41" t="s">
        <v>101</v>
      </c>
      <c r="C60" s="42" t="s">
        <v>47</v>
      </c>
      <c r="D60" s="44" t="s">
        <v>24</v>
      </c>
      <c r="E60" s="44">
        <v>1734</v>
      </c>
      <c r="F60" s="45" t="s">
        <v>49</v>
      </c>
      <c r="G60" s="45" t="s">
        <v>26</v>
      </c>
      <c r="H60" s="46">
        <v>71.78</v>
      </c>
      <c r="I60" s="45" t="s">
        <v>27</v>
      </c>
      <c r="J60" s="47">
        <f t="shared" si="10"/>
        <v>71.78</v>
      </c>
      <c r="K60" s="47">
        <f t="shared" si="1"/>
        <v>124466.52</v>
      </c>
      <c r="L60" s="45" t="s">
        <v>50</v>
      </c>
      <c r="M60" s="45" t="s">
        <v>26</v>
      </c>
      <c r="N60" s="46">
        <v>72.05</v>
      </c>
      <c r="O60" s="45" t="s">
        <v>27</v>
      </c>
      <c r="P60" s="47">
        <f t="shared" si="11"/>
        <v>72.05</v>
      </c>
      <c r="Q60" s="47">
        <f t="shared" si="3"/>
        <v>124934.7</v>
      </c>
      <c r="R60" s="45" t="s">
        <v>51</v>
      </c>
      <c r="S60" s="45" t="s">
        <v>26</v>
      </c>
      <c r="T60" s="46">
        <f>91.44/1.22</f>
        <v>74.950819672131146</v>
      </c>
      <c r="U60" s="45" t="s">
        <v>27</v>
      </c>
      <c r="V60" s="47">
        <f t="shared" si="4"/>
        <v>74.950819672131146</v>
      </c>
      <c r="W60" s="47">
        <f t="shared" si="5"/>
        <v>129964.72131147541</v>
      </c>
      <c r="X60" s="48">
        <f t="shared" si="6"/>
        <v>71.78</v>
      </c>
      <c r="Y60" s="58"/>
      <c r="Z60" s="50">
        <f t="shared" si="7"/>
        <v>72.926939890710386</v>
      </c>
      <c r="AA60" s="51">
        <f t="shared" si="8"/>
        <v>-1.5727245547793558</v>
      </c>
      <c r="AB60" s="50">
        <f t="shared" si="9"/>
        <v>124466.52</v>
      </c>
    </row>
    <row r="61" spans="1:28" ht="27" x14ac:dyDescent="0.25">
      <c r="A61" s="40">
        <v>52</v>
      </c>
      <c r="B61" s="41" t="s">
        <v>102</v>
      </c>
      <c r="C61" s="42" t="s">
        <v>103</v>
      </c>
      <c r="D61" s="44" t="s">
        <v>32</v>
      </c>
      <c r="E61" s="44">
        <v>8</v>
      </c>
      <c r="F61" s="45" t="s">
        <v>75</v>
      </c>
      <c r="G61" s="45" t="s">
        <v>26</v>
      </c>
      <c r="H61" s="46">
        <f>12500/1.22</f>
        <v>10245.901639344262</v>
      </c>
      <c r="I61" s="45" t="s">
        <v>27</v>
      </c>
      <c r="J61" s="47">
        <f t="shared" si="10"/>
        <v>10245.901639344262</v>
      </c>
      <c r="K61" s="47">
        <f t="shared" si="1"/>
        <v>81967.213114754093</v>
      </c>
      <c r="L61" s="45" t="s">
        <v>76</v>
      </c>
      <c r="M61" s="45" t="s">
        <v>26</v>
      </c>
      <c r="N61" s="46">
        <f>13125/1.22</f>
        <v>10758.196721311475</v>
      </c>
      <c r="O61" s="45" t="s">
        <v>27</v>
      </c>
      <c r="P61" s="47">
        <f t="shared" si="11"/>
        <v>10758.196721311475</v>
      </c>
      <c r="Q61" s="47">
        <f t="shared" si="3"/>
        <v>86065.573770491799</v>
      </c>
      <c r="R61" s="45" t="s">
        <v>77</v>
      </c>
      <c r="S61" s="45" t="s">
        <v>26</v>
      </c>
      <c r="T61" s="46">
        <f>13750/1.22</f>
        <v>11270.491803278688</v>
      </c>
      <c r="U61" s="45" t="s">
        <v>27</v>
      </c>
      <c r="V61" s="47">
        <f t="shared" si="4"/>
        <v>11270.491803278688</v>
      </c>
      <c r="W61" s="47">
        <f t="shared" si="5"/>
        <v>90163.934426229505</v>
      </c>
      <c r="X61" s="48">
        <f t="shared" si="6"/>
        <v>10245.901639344262</v>
      </c>
      <c r="Y61" s="49"/>
      <c r="Z61" s="50">
        <f t="shared" si="7"/>
        <v>10758.196721311475</v>
      </c>
      <c r="AA61" s="51">
        <f t="shared" si="8"/>
        <v>-4.7619047619047592</v>
      </c>
      <c r="AB61" s="50">
        <f t="shared" si="9"/>
        <v>81967.213114754093</v>
      </c>
    </row>
    <row r="62" spans="1:28" ht="27" x14ac:dyDescent="0.25">
      <c r="A62" s="40">
        <v>53</v>
      </c>
      <c r="B62" s="41" t="s">
        <v>104</v>
      </c>
      <c r="C62" s="42" t="s">
        <v>103</v>
      </c>
      <c r="D62" s="44" t="s">
        <v>32</v>
      </c>
      <c r="E62" s="44">
        <v>2</v>
      </c>
      <c r="F62" s="45" t="s">
        <v>75</v>
      </c>
      <c r="G62" s="45" t="s">
        <v>26</v>
      </c>
      <c r="H62" s="46">
        <f>3200/1.22</f>
        <v>2622.9508196721313</v>
      </c>
      <c r="I62" s="45" t="s">
        <v>27</v>
      </c>
      <c r="J62" s="47">
        <f t="shared" si="10"/>
        <v>2622.9508196721313</v>
      </c>
      <c r="K62" s="47">
        <f t="shared" si="1"/>
        <v>5245.9016393442625</v>
      </c>
      <c r="L62" s="45" t="s">
        <v>76</v>
      </c>
      <c r="M62" s="45" t="s">
        <v>26</v>
      </c>
      <c r="N62" s="46">
        <f>3360/1.22</f>
        <v>2754.0983606557379</v>
      </c>
      <c r="O62" s="45" t="s">
        <v>27</v>
      </c>
      <c r="P62" s="47">
        <f t="shared" si="11"/>
        <v>2754.0983606557379</v>
      </c>
      <c r="Q62" s="47">
        <f t="shared" si="3"/>
        <v>5508.1967213114758</v>
      </c>
      <c r="R62" s="45" t="s">
        <v>77</v>
      </c>
      <c r="S62" s="45" t="s">
        <v>26</v>
      </c>
      <c r="T62" s="46">
        <f>3520/1.22</f>
        <v>2885.2459016393445</v>
      </c>
      <c r="U62" s="45" t="s">
        <v>27</v>
      </c>
      <c r="V62" s="47">
        <f t="shared" si="4"/>
        <v>2885.2459016393445</v>
      </c>
      <c r="W62" s="47">
        <f t="shared" si="5"/>
        <v>5770.4918032786891</v>
      </c>
      <c r="X62" s="48">
        <f t="shared" si="6"/>
        <v>2622.9508196721313</v>
      </c>
      <c r="Y62" s="57"/>
      <c r="Z62" s="50">
        <f t="shared" si="7"/>
        <v>2754.0983606557379</v>
      </c>
      <c r="AA62" s="51">
        <f t="shared" si="8"/>
        <v>-4.7619047619047592</v>
      </c>
      <c r="AB62" s="50">
        <f t="shared" si="9"/>
        <v>5245.9016393442625</v>
      </c>
    </row>
    <row r="63" spans="1:28" ht="27" x14ac:dyDescent="0.25">
      <c r="A63" s="59">
        <v>54</v>
      </c>
      <c r="B63" s="41" t="s">
        <v>105</v>
      </c>
      <c r="C63" s="42" t="s">
        <v>23</v>
      </c>
      <c r="D63" s="44" t="s">
        <v>32</v>
      </c>
      <c r="E63" s="44">
        <v>240</v>
      </c>
      <c r="F63" s="45" t="s">
        <v>25</v>
      </c>
      <c r="G63" s="45" t="s">
        <v>26</v>
      </c>
      <c r="H63" s="46">
        <v>2048.2800000000002</v>
      </c>
      <c r="I63" s="45" t="s">
        <v>27</v>
      </c>
      <c r="J63" s="47">
        <f t="shared" si="10"/>
        <v>2048.2800000000002</v>
      </c>
      <c r="K63" s="47">
        <f t="shared" si="1"/>
        <v>491587.20000000007</v>
      </c>
      <c r="L63" s="45" t="s">
        <v>28</v>
      </c>
      <c r="M63" s="45" t="s">
        <v>26</v>
      </c>
      <c r="N63" s="46">
        <v>2048.2800000000002</v>
      </c>
      <c r="O63" s="45" t="s">
        <v>27</v>
      </c>
      <c r="P63" s="47">
        <f t="shared" si="11"/>
        <v>2048.2800000000002</v>
      </c>
      <c r="Q63" s="47">
        <f t="shared" si="3"/>
        <v>491587.20000000007</v>
      </c>
      <c r="R63" s="45" t="s">
        <v>29</v>
      </c>
      <c r="S63" s="45" t="s">
        <v>26</v>
      </c>
      <c r="T63" s="46">
        <v>2048.29</v>
      </c>
      <c r="U63" s="45" t="s">
        <v>27</v>
      </c>
      <c r="V63" s="47">
        <f t="shared" si="4"/>
        <v>2048.29</v>
      </c>
      <c r="W63" s="47">
        <f t="shared" si="5"/>
        <v>491589.6</v>
      </c>
      <c r="X63" s="48">
        <f t="shared" si="6"/>
        <v>2048.2800000000002</v>
      </c>
      <c r="Y63" s="49"/>
      <c r="Z63" s="50">
        <f t="shared" si="7"/>
        <v>2048.2833333333333</v>
      </c>
      <c r="AA63" s="51">
        <f t="shared" si="8"/>
        <v>-1.6273790245691089E-4</v>
      </c>
      <c r="AB63" s="50">
        <f t="shared" si="9"/>
        <v>491587.20000000007</v>
      </c>
    </row>
    <row r="64" spans="1:28" ht="27" x14ac:dyDescent="0.25">
      <c r="A64" s="56">
        <v>55</v>
      </c>
      <c r="B64" s="41" t="s">
        <v>106</v>
      </c>
      <c r="C64" s="42" t="s">
        <v>23</v>
      </c>
      <c r="D64" s="44" t="s">
        <v>32</v>
      </c>
      <c r="E64" s="44">
        <v>1375</v>
      </c>
      <c r="F64" s="45" t="s">
        <v>25</v>
      </c>
      <c r="G64" s="45" t="s">
        <v>26</v>
      </c>
      <c r="H64" s="46">
        <v>404.62</v>
      </c>
      <c r="I64" s="45" t="s">
        <v>27</v>
      </c>
      <c r="J64" s="47">
        <f t="shared" si="10"/>
        <v>404.62</v>
      </c>
      <c r="K64" s="47">
        <f t="shared" si="1"/>
        <v>556352.5</v>
      </c>
      <c r="L64" s="45" t="s">
        <v>28</v>
      </c>
      <c r="M64" s="45" t="s">
        <v>26</v>
      </c>
      <c r="N64" s="46">
        <v>405</v>
      </c>
      <c r="O64" s="45" t="s">
        <v>27</v>
      </c>
      <c r="P64" s="47">
        <f t="shared" si="11"/>
        <v>405</v>
      </c>
      <c r="Q64" s="47">
        <f t="shared" si="3"/>
        <v>556875</v>
      </c>
      <c r="R64" s="45" t="s">
        <v>29</v>
      </c>
      <c r="S64" s="45" t="s">
        <v>26</v>
      </c>
      <c r="T64" s="46">
        <v>425.91</v>
      </c>
      <c r="U64" s="45" t="s">
        <v>27</v>
      </c>
      <c r="V64" s="47">
        <f t="shared" si="4"/>
        <v>425.91</v>
      </c>
      <c r="W64" s="47">
        <f t="shared" si="5"/>
        <v>585626.25</v>
      </c>
      <c r="X64" s="48">
        <f t="shared" si="6"/>
        <v>404.62</v>
      </c>
      <c r="Y64" s="49"/>
      <c r="Z64" s="50">
        <f t="shared" si="7"/>
        <v>411.84333333333331</v>
      </c>
      <c r="AA64" s="51">
        <f t="shared" si="8"/>
        <v>-1.7539031832492924</v>
      </c>
      <c r="AB64" s="50">
        <f t="shared" si="9"/>
        <v>556352.5</v>
      </c>
    </row>
    <row r="65" spans="1:28" ht="25.5" x14ac:dyDescent="0.25">
      <c r="A65" s="40">
        <v>56</v>
      </c>
      <c r="B65" s="41" t="s">
        <v>107</v>
      </c>
      <c r="C65" s="42" t="s">
        <v>42</v>
      </c>
      <c r="D65" s="44" t="s">
        <v>32</v>
      </c>
      <c r="E65" s="44">
        <v>38</v>
      </c>
      <c r="F65" s="45" t="s">
        <v>43</v>
      </c>
      <c r="G65" s="45" t="s">
        <v>26</v>
      </c>
      <c r="H65" s="46">
        <f>580.76/1.22</f>
        <v>476.03278688524591</v>
      </c>
      <c r="I65" s="45" t="s">
        <v>27</v>
      </c>
      <c r="J65" s="47">
        <f t="shared" si="10"/>
        <v>476.03278688524591</v>
      </c>
      <c r="K65" s="47">
        <f t="shared" si="1"/>
        <v>18089.245901639344</v>
      </c>
      <c r="L65" s="45" t="s">
        <v>69</v>
      </c>
      <c r="M65" s="45" t="s">
        <v>26</v>
      </c>
      <c r="N65" s="46">
        <f>658/1.22</f>
        <v>539.34426229508199</v>
      </c>
      <c r="O65" s="45" t="s">
        <v>27</v>
      </c>
      <c r="P65" s="47">
        <f t="shared" si="11"/>
        <v>539.34426229508199</v>
      </c>
      <c r="Q65" s="47">
        <f t="shared" si="3"/>
        <v>20495.081967213115</v>
      </c>
      <c r="R65" s="45" t="s">
        <v>45</v>
      </c>
      <c r="S65" s="45" t="s">
        <v>26</v>
      </c>
      <c r="T65" s="46">
        <f>683.55/1.22</f>
        <v>560.28688524590166</v>
      </c>
      <c r="U65" s="45" t="s">
        <v>27</v>
      </c>
      <c r="V65" s="47">
        <f t="shared" si="4"/>
        <v>560.28688524590166</v>
      </c>
      <c r="W65" s="47">
        <f t="shared" si="5"/>
        <v>21290.901639344262</v>
      </c>
      <c r="X65" s="48">
        <f t="shared" si="6"/>
        <v>476.03278688524591</v>
      </c>
      <c r="Y65" s="57"/>
      <c r="Z65" s="50">
        <f t="shared" si="7"/>
        <v>525.22131147540983</v>
      </c>
      <c r="AA65" s="51">
        <f t="shared" si="8"/>
        <v>-9.3652948795979825</v>
      </c>
      <c r="AB65" s="50">
        <f t="shared" si="9"/>
        <v>18089.245901639344</v>
      </c>
    </row>
    <row r="66" spans="1:28" ht="25.5" x14ac:dyDescent="0.25">
      <c r="A66" s="53">
        <v>57</v>
      </c>
      <c r="B66" s="41" t="s">
        <v>108</v>
      </c>
      <c r="C66" s="42" t="s">
        <v>42</v>
      </c>
      <c r="D66" s="44" t="s">
        <v>32</v>
      </c>
      <c r="E66" s="44">
        <v>38</v>
      </c>
      <c r="F66" s="45" t="s">
        <v>43</v>
      </c>
      <c r="G66" s="45" t="s">
        <v>26</v>
      </c>
      <c r="H66" s="46">
        <f>459.77/1.22</f>
        <v>376.86065573770492</v>
      </c>
      <c r="I66" s="45" t="s">
        <v>27</v>
      </c>
      <c r="J66" s="47">
        <f t="shared" si="10"/>
        <v>376.86065573770492</v>
      </c>
      <c r="K66" s="47">
        <f t="shared" si="1"/>
        <v>14320.704918032787</v>
      </c>
      <c r="L66" s="45" t="s">
        <v>69</v>
      </c>
      <c r="M66" s="45" t="s">
        <v>26</v>
      </c>
      <c r="N66" s="46">
        <f>520.92/1.22</f>
        <v>426.98360655737702</v>
      </c>
      <c r="O66" s="45" t="s">
        <v>27</v>
      </c>
      <c r="P66" s="47">
        <f t="shared" si="11"/>
        <v>426.98360655737702</v>
      </c>
      <c r="Q66" s="47">
        <f t="shared" si="3"/>
        <v>16225.377049180326</v>
      </c>
      <c r="R66" s="45" t="s">
        <v>45</v>
      </c>
      <c r="S66" s="45" t="s">
        <v>26</v>
      </c>
      <c r="T66" s="46">
        <f>541.15/1.22</f>
        <v>443.56557377049177</v>
      </c>
      <c r="U66" s="45" t="s">
        <v>27</v>
      </c>
      <c r="V66" s="47">
        <f t="shared" si="4"/>
        <v>443.56557377049177</v>
      </c>
      <c r="W66" s="47">
        <f t="shared" si="5"/>
        <v>16855.491803278688</v>
      </c>
      <c r="X66" s="48">
        <f t="shared" si="6"/>
        <v>376.86065573770492</v>
      </c>
      <c r="Y66" s="49"/>
      <c r="Z66" s="50">
        <f t="shared" si="7"/>
        <v>415.80327868852459</v>
      </c>
      <c r="AA66" s="51">
        <f t="shared" si="8"/>
        <v>-9.3656363349629288</v>
      </c>
      <c r="AB66" s="50">
        <f t="shared" si="9"/>
        <v>14320.704918032787</v>
      </c>
    </row>
    <row r="67" spans="1:28" ht="25.5" x14ac:dyDescent="0.25">
      <c r="A67" s="40">
        <v>58</v>
      </c>
      <c r="B67" s="41" t="s">
        <v>109</v>
      </c>
      <c r="C67" s="42" t="s">
        <v>42</v>
      </c>
      <c r="D67" s="44" t="s">
        <v>32</v>
      </c>
      <c r="E67" s="44">
        <v>10</v>
      </c>
      <c r="F67" s="45" t="s">
        <v>43</v>
      </c>
      <c r="G67" s="45" t="s">
        <v>26</v>
      </c>
      <c r="H67" s="46">
        <f>869.79/1.22</f>
        <v>712.94262295081967</v>
      </c>
      <c r="I67" s="45" t="s">
        <v>27</v>
      </c>
      <c r="J67" s="47">
        <f t="shared" si="10"/>
        <v>712.94262295081967</v>
      </c>
      <c r="K67" s="47">
        <f t="shared" si="1"/>
        <v>7129.4262295081971</v>
      </c>
      <c r="L67" s="45" t="s">
        <v>69</v>
      </c>
      <c r="M67" s="45" t="s">
        <v>26</v>
      </c>
      <c r="N67" s="46">
        <f>985.47/1.22</f>
        <v>807.7622950819673</v>
      </c>
      <c r="O67" s="45" t="s">
        <v>27</v>
      </c>
      <c r="P67" s="47">
        <f t="shared" si="11"/>
        <v>807.7622950819673</v>
      </c>
      <c r="Q67" s="47">
        <f t="shared" si="3"/>
        <v>8077.622950819673</v>
      </c>
      <c r="R67" s="45" t="s">
        <v>45</v>
      </c>
      <c r="S67" s="45" t="s">
        <v>26</v>
      </c>
      <c r="T67" s="46">
        <f>1023.74/1.22</f>
        <v>839.13114754098365</v>
      </c>
      <c r="U67" s="45" t="s">
        <v>27</v>
      </c>
      <c r="V67" s="47">
        <f t="shared" si="4"/>
        <v>839.13114754098365</v>
      </c>
      <c r="W67" s="47">
        <f t="shared" si="5"/>
        <v>8391.3114754098369</v>
      </c>
      <c r="X67" s="48">
        <f t="shared" si="6"/>
        <v>712.94262295081967</v>
      </c>
      <c r="Y67" s="49"/>
      <c r="Z67" s="50">
        <f t="shared" si="7"/>
        <v>786.61202185792354</v>
      </c>
      <c r="AA67" s="51">
        <f t="shared" si="8"/>
        <v>-9.3654046543938989</v>
      </c>
      <c r="AB67" s="50">
        <f t="shared" si="9"/>
        <v>7129.4262295081971</v>
      </c>
    </row>
    <row r="68" spans="1:28" ht="25.5" x14ac:dyDescent="0.25">
      <c r="A68" s="40">
        <v>59</v>
      </c>
      <c r="B68" s="41" t="s">
        <v>110</v>
      </c>
      <c r="C68" s="42" t="s">
        <v>42</v>
      </c>
      <c r="D68" s="44" t="s">
        <v>32</v>
      </c>
      <c r="E68" s="44">
        <v>5</v>
      </c>
      <c r="F68" s="45" t="s">
        <v>43</v>
      </c>
      <c r="G68" s="45" t="s">
        <v>26</v>
      </c>
      <c r="H68" s="46">
        <f>580.76/1.22</f>
        <v>476.03278688524591</v>
      </c>
      <c r="I68" s="45" t="s">
        <v>27</v>
      </c>
      <c r="J68" s="47">
        <f t="shared" si="10"/>
        <v>476.03278688524591</v>
      </c>
      <c r="K68" s="47">
        <f t="shared" si="1"/>
        <v>2380.1639344262294</v>
      </c>
      <c r="L68" s="45" t="s">
        <v>69</v>
      </c>
      <c r="M68" s="45" t="s">
        <v>26</v>
      </c>
      <c r="N68" s="46">
        <f>658/1.22</f>
        <v>539.34426229508199</v>
      </c>
      <c r="O68" s="45" t="s">
        <v>27</v>
      </c>
      <c r="P68" s="47">
        <f t="shared" si="11"/>
        <v>539.34426229508199</v>
      </c>
      <c r="Q68" s="47">
        <f t="shared" si="3"/>
        <v>2696.7213114754099</v>
      </c>
      <c r="R68" s="45" t="s">
        <v>45</v>
      </c>
      <c r="S68" s="45" t="s">
        <v>26</v>
      </c>
      <c r="T68" s="46">
        <f>683.55/1.22</f>
        <v>560.28688524590166</v>
      </c>
      <c r="U68" s="45" t="s">
        <v>27</v>
      </c>
      <c r="V68" s="47">
        <f t="shared" si="4"/>
        <v>560.28688524590166</v>
      </c>
      <c r="W68" s="47">
        <f t="shared" si="5"/>
        <v>2801.4344262295081</v>
      </c>
      <c r="X68" s="48">
        <f t="shared" si="6"/>
        <v>476.03278688524591</v>
      </c>
      <c r="Y68" s="57"/>
      <c r="Z68" s="50">
        <f t="shared" si="7"/>
        <v>525.22131147540983</v>
      </c>
      <c r="AA68" s="51">
        <f t="shared" si="8"/>
        <v>-9.3652948795979825</v>
      </c>
      <c r="AB68" s="50">
        <f t="shared" si="9"/>
        <v>2380.1639344262294</v>
      </c>
    </row>
    <row r="69" spans="1:28" ht="25.5" x14ac:dyDescent="0.25">
      <c r="A69" s="53">
        <v>60</v>
      </c>
      <c r="B69" s="41" t="s">
        <v>111</v>
      </c>
      <c r="C69" s="42" t="s">
        <v>42</v>
      </c>
      <c r="D69" s="44" t="s">
        <v>32</v>
      </c>
      <c r="E69" s="44">
        <v>38</v>
      </c>
      <c r="F69" s="45" t="s">
        <v>43</v>
      </c>
      <c r="G69" s="45" t="s">
        <v>26</v>
      </c>
      <c r="H69" s="46">
        <f>1088.92/1.22</f>
        <v>892.55737704918045</v>
      </c>
      <c r="I69" s="45" t="s">
        <v>27</v>
      </c>
      <c r="J69" s="47">
        <f t="shared" si="10"/>
        <v>892.55737704918045</v>
      </c>
      <c r="K69" s="47">
        <f t="shared" si="1"/>
        <v>33917.18032786886</v>
      </c>
      <c r="L69" s="45" t="s">
        <v>69</v>
      </c>
      <c r="M69" s="45" t="s">
        <v>26</v>
      </c>
      <c r="N69" s="46">
        <f>1233.75/1.22</f>
        <v>1011.2704918032787</v>
      </c>
      <c r="O69" s="45" t="s">
        <v>27</v>
      </c>
      <c r="P69" s="47">
        <f t="shared" si="11"/>
        <v>1011.2704918032787</v>
      </c>
      <c r="Q69" s="47">
        <f t="shared" si="3"/>
        <v>38428.278688524588</v>
      </c>
      <c r="R69" s="45" t="s">
        <v>45</v>
      </c>
      <c r="S69" s="45" t="s">
        <v>26</v>
      </c>
      <c r="T69" s="46">
        <f>1281.66/1.22</f>
        <v>1050.5409836065576</v>
      </c>
      <c r="U69" s="45" t="s">
        <v>27</v>
      </c>
      <c r="V69" s="47">
        <f t="shared" si="4"/>
        <v>1050.5409836065576</v>
      </c>
      <c r="W69" s="47">
        <f t="shared" si="5"/>
        <v>39920.55737704919</v>
      </c>
      <c r="X69" s="48">
        <f t="shared" si="6"/>
        <v>892.55737704918045</v>
      </c>
      <c r="Y69" s="49"/>
      <c r="Z69" s="50">
        <f t="shared" si="7"/>
        <v>984.78961748633901</v>
      </c>
      <c r="AA69" s="51">
        <f t="shared" si="8"/>
        <v>-9.3656796131319879</v>
      </c>
      <c r="AB69" s="50">
        <f t="shared" si="9"/>
        <v>33917.18032786886</v>
      </c>
    </row>
    <row r="70" spans="1:28" ht="25.5" x14ac:dyDescent="0.25">
      <c r="A70" s="40">
        <v>61</v>
      </c>
      <c r="B70" s="41" t="s">
        <v>112</v>
      </c>
      <c r="C70" s="42" t="s">
        <v>42</v>
      </c>
      <c r="D70" s="44" t="s">
        <v>32</v>
      </c>
      <c r="E70" s="44">
        <v>10</v>
      </c>
      <c r="F70" s="45" t="s">
        <v>43</v>
      </c>
      <c r="G70" s="45" t="s">
        <v>26</v>
      </c>
      <c r="H70" s="46">
        <f>1586.33/1.22</f>
        <v>1300.2704918032787</v>
      </c>
      <c r="I70" s="45" t="s">
        <v>27</v>
      </c>
      <c r="J70" s="47">
        <f t="shared" si="10"/>
        <v>1300.2704918032787</v>
      </c>
      <c r="K70" s="47">
        <f t="shared" si="1"/>
        <v>13002.704918032787</v>
      </c>
      <c r="L70" s="45" t="s">
        <v>69</v>
      </c>
      <c r="M70" s="45" t="s">
        <v>26</v>
      </c>
      <c r="N70" s="46">
        <f>1797.31/1.22</f>
        <v>1473.204918032787</v>
      </c>
      <c r="O70" s="45" t="s">
        <v>27</v>
      </c>
      <c r="P70" s="47">
        <f t="shared" si="11"/>
        <v>1473.204918032787</v>
      </c>
      <c r="Q70" s="47">
        <f t="shared" si="3"/>
        <v>14732.049180327869</v>
      </c>
      <c r="R70" s="45" t="s">
        <v>45</v>
      </c>
      <c r="S70" s="45" t="s">
        <v>26</v>
      </c>
      <c r="T70" s="46">
        <f>1867.11/1.22</f>
        <v>1530.4180327868853</v>
      </c>
      <c r="U70" s="45" t="s">
        <v>27</v>
      </c>
      <c r="V70" s="47">
        <f t="shared" si="4"/>
        <v>1530.4180327868853</v>
      </c>
      <c r="W70" s="47">
        <f t="shared" si="5"/>
        <v>15304.180327868853</v>
      </c>
      <c r="X70" s="48">
        <f t="shared" si="6"/>
        <v>1300.2704918032787</v>
      </c>
      <c r="Y70" s="49"/>
      <c r="Z70" s="50">
        <f t="shared" si="7"/>
        <v>1434.6311475409836</v>
      </c>
      <c r="AA70" s="51">
        <f t="shared" si="8"/>
        <v>-9.365519211541212</v>
      </c>
      <c r="AB70" s="50">
        <f t="shared" si="9"/>
        <v>13002.704918032787</v>
      </c>
    </row>
    <row r="71" spans="1:28" ht="25.5" x14ac:dyDescent="0.25">
      <c r="A71" s="40">
        <v>62</v>
      </c>
      <c r="B71" s="41" t="s">
        <v>113</v>
      </c>
      <c r="C71" s="42" t="s">
        <v>42</v>
      </c>
      <c r="D71" s="44" t="s">
        <v>32</v>
      </c>
      <c r="E71" s="44">
        <v>36</v>
      </c>
      <c r="F71" s="45" t="s">
        <v>43</v>
      </c>
      <c r="G71" s="45" t="s">
        <v>26</v>
      </c>
      <c r="H71" s="46">
        <f>3942.08/1.22</f>
        <v>3231.2131147540986</v>
      </c>
      <c r="I71" s="45" t="s">
        <v>27</v>
      </c>
      <c r="J71" s="47">
        <f t="shared" si="10"/>
        <v>3231.2131147540986</v>
      </c>
      <c r="K71" s="47">
        <f t="shared" si="1"/>
        <v>116323.67213114756</v>
      </c>
      <c r="L71" s="45" t="s">
        <v>69</v>
      </c>
      <c r="M71" s="45" t="s">
        <v>26</v>
      </c>
      <c r="N71" s="46">
        <f>4466.38/1.22</f>
        <v>3660.9672131147545</v>
      </c>
      <c r="O71" s="45" t="s">
        <v>27</v>
      </c>
      <c r="P71" s="47">
        <f t="shared" si="11"/>
        <v>3660.9672131147545</v>
      </c>
      <c r="Q71" s="47">
        <f t="shared" si="3"/>
        <v>131794.81967213115</v>
      </c>
      <c r="R71" s="45" t="s">
        <v>45</v>
      </c>
      <c r="S71" s="45" t="s">
        <v>26</v>
      </c>
      <c r="T71" s="46">
        <f>4639.83/1.22</f>
        <v>3803.1393442622953</v>
      </c>
      <c r="U71" s="45" t="s">
        <v>27</v>
      </c>
      <c r="V71" s="47">
        <f t="shared" si="4"/>
        <v>3803.1393442622953</v>
      </c>
      <c r="W71" s="47">
        <f t="shared" si="5"/>
        <v>136913.01639344264</v>
      </c>
      <c r="X71" s="48">
        <f t="shared" si="6"/>
        <v>3231.2131147540986</v>
      </c>
      <c r="Y71" s="57"/>
      <c r="Z71" s="50">
        <f t="shared" si="7"/>
        <v>3565.1065573770497</v>
      </c>
      <c r="AA71" s="51">
        <f t="shared" si="8"/>
        <v>-9.3655950319927115</v>
      </c>
      <c r="AB71" s="50">
        <f t="shared" si="9"/>
        <v>116323.67213114756</v>
      </c>
    </row>
    <row r="72" spans="1:28" ht="25.5" x14ac:dyDescent="0.25">
      <c r="A72" s="53">
        <v>63</v>
      </c>
      <c r="B72" s="41" t="s">
        <v>114</v>
      </c>
      <c r="C72" s="42" t="s">
        <v>42</v>
      </c>
      <c r="D72" s="44" t="s">
        <v>32</v>
      </c>
      <c r="E72" s="44">
        <v>800</v>
      </c>
      <c r="F72" s="45" t="s">
        <v>43</v>
      </c>
      <c r="G72" s="45" t="s">
        <v>26</v>
      </c>
      <c r="H72" s="46">
        <f>130.03/1.22</f>
        <v>106.58196721311475</v>
      </c>
      <c r="I72" s="45" t="s">
        <v>27</v>
      </c>
      <c r="J72" s="47">
        <f t="shared" si="10"/>
        <v>106.58196721311475</v>
      </c>
      <c r="K72" s="47">
        <f t="shared" si="1"/>
        <v>85265.573770491799</v>
      </c>
      <c r="L72" s="45" t="s">
        <v>69</v>
      </c>
      <c r="M72" s="45" t="s">
        <v>26</v>
      </c>
      <c r="N72" s="46">
        <f>147.32/1.22</f>
        <v>120.75409836065573</v>
      </c>
      <c r="O72" s="45" t="s">
        <v>27</v>
      </c>
      <c r="P72" s="47">
        <f t="shared" si="11"/>
        <v>120.75409836065573</v>
      </c>
      <c r="Q72" s="47">
        <f t="shared" si="3"/>
        <v>96603.278688524588</v>
      </c>
      <c r="R72" s="45" t="s">
        <v>45</v>
      </c>
      <c r="S72" s="45" t="s">
        <v>26</v>
      </c>
      <c r="T72" s="46">
        <f>153.05/1.22</f>
        <v>125.45081967213116</v>
      </c>
      <c r="U72" s="45" t="s">
        <v>27</v>
      </c>
      <c r="V72" s="47">
        <f t="shared" si="4"/>
        <v>125.45081967213116</v>
      </c>
      <c r="W72" s="47">
        <f t="shared" si="5"/>
        <v>100360.65573770493</v>
      </c>
      <c r="X72" s="48">
        <f t="shared" si="6"/>
        <v>106.58196721311475</v>
      </c>
      <c r="Y72" s="49"/>
      <c r="Z72" s="50">
        <f t="shared" si="7"/>
        <v>117.59562841530055</v>
      </c>
      <c r="AA72" s="51">
        <f t="shared" si="8"/>
        <v>-9.3657063197026105</v>
      </c>
      <c r="AB72" s="50">
        <f t="shared" si="9"/>
        <v>85265.573770491799</v>
      </c>
    </row>
    <row r="73" spans="1:28" ht="27" x14ac:dyDescent="0.25">
      <c r="A73" s="40">
        <v>64</v>
      </c>
      <c r="B73" s="41" t="s">
        <v>115</v>
      </c>
      <c r="C73" s="42" t="s">
        <v>116</v>
      </c>
      <c r="D73" s="44" t="s">
        <v>32</v>
      </c>
      <c r="E73" s="44">
        <v>17</v>
      </c>
      <c r="F73" s="45" t="s">
        <v>117</v>
      </c>
      <c r="G73" s="45" t="s">
        <v>93</v>
      </c>
      <c r="H73" s="46">
        <f>15993/1.22</f>
        <v>13109.016393442624</v>
      </c>
      <c r="I73" s="45" t="s">
        <v>27</v>
      </c>
      <c r="J73" s="47">
        <f t="shared" si="10"/>
        <v>13109.016393442624</v>
      </c>
      <c r="K73" s="47">
        <f t="shared" si="1"/>
        <v>222853.27868852462</v>
      </c>
      <c r="L73" s="45" t="s">
        <v>118</v>
      </c>
      <c r="M73" s="45" t="s">
        <v>93</v>
      </c>
      <c r="N73" s="46">
        <f>12150/1.22</f>
        <v>9959.0163934426237</v>
      </c>
      <c r="O73" s="45" t="s">
        <v>27</v>
      </c>
      <c r="P73" s="47">
        <f t="shared" si="11"/>
        <v>9959.0163934426237</v>
      </c>
      <c r="Q73" s="47">
        <f t="shared" si="3"/>
        <v>169303.27868852462</v>
      </c>
      <c r="R73" s="45" t="s">
        <v>119</v>
      </c>
      <c r="S73" s="45" t="s">
        <v>93</v>
      </c>
      <c r="T73" s="46">
        <f>12340/1.22</f>
        <v>10114.754098360656</v>
      </c>
      <c r="U73" s="45" t="s">
        <v>27</v>
      </c>
      <c r="V73" s="47">
        <f t="shared" si="4"/>
        <v>10114.754098360656</v>
      </c>
      <c r="W73" s="47">
        <f t="shared" si="5"/>
        <v>171950.81967213115</v>
      </c>
      <c r="X73" s="48">
        <f t="shared" si="6"/>
        <v>9959.0163934426237</v>
      </c>
      <c r="Y73" s="49"/>
      <c r="Z73" s="50">
        <f t="shared" si="7"/>
        <v>11060.928961748636</v>
      </c>
      <c r="AA73" s="51">
        <f t="shared" si="8"/>
        <v>-9.9622063582244493</v>
      </c>
      <c r="AB73" s="50">
        <f t="shared" si="9"/>
        <v>169303.27868852462</v>
      </c>
    </row>
    <row r="74" spans="1:28" ht="25.5" x14ac:dyDescent="0.25">
      <c r="A74" s="56">
        <v>65</v>
      </c>
      <c r="B74" s="41" t="s">
        <v>120</v>
      </c>
      <c r="C74" s="42" t="s">
        <v>23</v>
      </c>
      <c r="D74" s="44" t="s">
        <v>32</v>
      </c>
      <c r="E74" s="44">
        <v>15</v>
      </c>
      <c r="F74" s="45" t="s">
        <v>25</v>
      </c>
      <c r="G74" s="45" t="s">
        <v>26</v>
      </c>
      <c r="H74" s="46">
        <v>2181.3200000000002</v>
      </c>
      <c r="I74" s="45" t="s">
        <v>27</v>
      </c>
      <c r="J74" s="47">
        <f t="shared" ref="J74:J105" si="12">H74</f>
        <v>2181.3200000000002</v>
      </c>
      <c r="K74" s="47">
        <f t="shared" ref="K74:K137" si="13">J74*E74</f>
        <v>32719.800000000003</v>
      </c>
      <c r="L74" s="45" t="s">
        <v>28</v>
      </c>
      <c r="M74" s="45" t="s">
        <v>26</v>
      </c>
      <c r="N74" s="46">
        <v>2181.3200000000002</v>
      </c>
      <c r="O74" s="45" t="s">
        <v>27</v>
      </c>
      <c r="P74" s="47">
        <f t="shared" ref="P74:P105" si="14">N74</f>
        <v>2181.3200000000002</v>
      </c>
      <c r="Q74" s="47">
        <f t="shared" ref="Q74:Q137" si="15">E74*P74</f>
        <v>32719.800000000003</v>
      </c>
      <c r="R74" s="45" t="s">
        <v>29</v>
      </c>
      <c r="S74" s="45" t="s">
        <v>26</v>
      </c>
      <c r="T74" s="46">
        <v>2181.3200000000002</v>
      </c>
      <c r="U74" s="45" t="s">
        <v>27</v>
      </c>
      <c r="V74" s="47">
        <f t="shared" ref="V74:V137" si="16">T74</f>
        <v>2181.3200000000002</v>
      </c>
      <c r="W74" s="47">
        <f t="shared" ref="W74:W137" si="17">V74*E74</f>
        <v>32719.800000000003</v>
      </c>
      <c r="X74" s="48">
        <f t="shared" ref="X74:X137" si="18">MIN(H74,N74,T74)</f>
        <v>2181.3200000000002</v>
      </c>
      <c r="Y74" s="54"/>
      <c r="Z74" s="50">
        <f t="shared" ref="Z74:Z137" si="19">AVERAGE(H74,N74,T74)</f>
        <v>2181.3200000000002</v>
      </c>
      <c r="AA74" s="51">
        <f t="shared" ref="AA74:AA137" si="20">X74*100/Z74-100</f>
        <v>0</v>
      </c>
      <c r="AB74" s="50">
        <f t="shared" ref="AB74:AB137" si="21">X74*E74</f>
        <v>32719.800000000003</v>
      </c>
    </row>
    <row r="75" spans="1:28" ht="27" x14ac:dyDescent="0.25">
      <c r="A75" s="59">
        <v>66</v>
      </c>
      <c r="B75" s="41" t="s">
        <v>121</v>
      </c>
      <c r="C75" s="42" t="s">
        <v>23</v>
      </c>
      <c r="D75" s="44" t="s">
        <v>24</v>
      </c>
      <c r="E75" s="44">
        <v>989.4</v>
      </c>
      <c r="F75" s="45" t="s">
        <v>25</v>
      </c>
      <c r="G75" s="45" t="s">
        <v>26</v>
      </c>
      <c r="H75" s="46">
        <v>349.31</v>
      </c>
      <c r="I75" s="45" t="s">
        <v>27</v>
      </c>
      <c r="J75" s="47">
        <f t="shared" si="12"/>
        <v>349.31</v>
      </c>
      <c r="K75" s="47">
        <f t="shared" si="13"/>
        <v>345607.31400000001</v>
      </c>
      <c r="L75" s="45" t="s">
        <v>28</v>
      </c>
      <c r="M75" s="45" t="s">
        <v>26</v>
      </c>
      <c r="N75" s="46">
        <v>349.31</v>
      </c>
      <c r="O75" s="45" t="s">
        <v>27</v>
      </c>
      <c r="P75" s="47">
        <f t="shared" si="14"/>
        <v>349.31</v>
      </c>
      <c r="Q75" s="47">
        <f t="shared" si="15"/>
        <v>345607.31400000001</v>
      </c>
      <c r="R75" s="45" t="s">
        <v>29</v>
      </c>
      <c r="S75" s="45" t="s">
        <v>26</v>
      </c>
      <c r="T75" s="46">
        <v>349.31</v>
      </c>
      <c r="U75" s="45" t="s">
        <v>27</v>
      </c>
      <c r="V75" s="47">
        <f t="shared" si="16"/>
        <v>349.31</v>
      </c>
      <c r="W75" s="47">
        <f t="shared" si="17"/>
        <v>345607.31400000001</v>
      </c>
      <c r="X75" s="48">
        <f t="shared" si="18"/>
        <v>349.31</v>
      </c>
      <c r="Y75" s="49"/>
      <c r="Z75" s="50">
        <f t="shared" si="19"/>
        <v>349.31</v>
      </c>
      <c r="AA75" s="51">
        <f t="shared" si="20"/>
        <v>0</v>
      </c>
      <c r="AB75" s="50">
        <f t="shared" si="21"/>
        <v>345607.31400000001</v>
      </c>
    </row>
    <row r="76" spans="1:28" ht="27" x14ac:dyDescent="0.25">
      <c r="A76" s="56">
        <v>67</v>
      </c>
      <c r="B76" s="41" t="s">
        <v>122</v>
      </c>
      <c r="C76" s="42" t="s">
        <v>23</v>
      </c>
      <c r="D76" s="44" t="s">
        <v>24</v>
      </c>
      <c r="E76" s="44">
        <v>306</v>
      </c>
      <c r="F76" s="45" t="s">
        <v>25</v>
      </c>
      <c r="G76" s="45" t="s">
        <v>26</v>
      </c>
      <c r="H76" s="46">
        <v>601.61</v>
      </c>
      <c r="I76" s="45" t="s">
        <v>27</v>
      </c>
      <c r="J76" s="47">
        <f t="shared" si="12"/>
        <v>601.61</v>
      </c>
      <c r="K76" s="47">
        <f t="shared" si="13"/>
        <v>184092.66</v>
      </c>
      <c r="L76" s="45" t="s">
        <v>28</v>
      </c>
      <c r="M76" s="45" t="s">
        <v>26</v>
      </c>
      <c r="N76" s="46">
        <v>601.61</v>
      </c>
      <c r="O76" s="45" t="s">
        <v>27</v>
      </c>
      <c r="P76" s="47">
        <f t="shared" si="14"/>
        <v>601.61</v>
      </c>
      <c r="Q76" s="47">
        <f t="shared" si="15"/>
        <v>184092.66</v>
      </c>
      <c r="R76" s="45" t="s">
        <v>29</v>
      </c>
      <c r="S76" s="45" t="s">
        <v>26</v>
      </c>
      <c r="T76" s="46">
        <v>601.61</v>
      </c>
      <c r="U76" s="45" t="s">
        <v>27</v>
      </c>
      <c r="V76" s="47">
        <f t="shared" si="16"/>
        <v>601.61</v>
      </c>
      <c r="W76" s="47">
        <f t="shared" si="17"/>
        <v>184092.66</v>
      </c>
      <c r="X76" s="48">
        <f t="shared" si="18"/>
        <v>601.61</v>
      </c>
      <c r="Y76" s="49"/>
      <c r="Z76" s="50">
        <f t="shared" si="19"/>
        <v>601.61</v>
      </c>
      <c r="AA76" s="51">
        <f t="shared" si="20"/>
        <v>0</v>
      </c>
      <c r="AB76" s="50">
        <f t="shared" si="21"/>
        <v>184092.66</v>
      </c>
    </row>
    <row r="77" spans="1:28" ht="27" x14ac:dyDescent="0.25">
      <c r="A77" s="56">
        <v>68</v>
      </c>
      <c r="B77" s="41" t="s">
        <v>123</v>
      </c>
      <c r="C77" s="42" t="s">
        <v>23</v>
      </c>
      <c r="D77" s="44" t="s">
        <v>32</v>
      </c>
      <c r="E77" s="44">
        <v>377</v>
      </c>
      <c r="F77" s="45" t="s">
        <v>25</v>
      </c>
      <c r="G77" s="45" t="s">
        <v>26</v>
      </c>
      <c r="H77" s="46">
        <v>841.93</v>
      </c>
      <c r="I77" s="45" t="s">
        <v>27</v>
      </c>
      <c r="J77" s="47">
        <f t="shared" si="12"/>
        <v>841.93</v>
      </c>
      <c r="K77" s="47">
        <f t="shared" si="13"/>
        <v>317407.61</v>
      </c>
      <c r="L77" s="45" t="s">
        <v>28</v>
      </c>
      <c r="M77" s="45" t="s">
        <v>26</v>
      </c>
      <c r="N77" s="46">
        <v>841.93</v>
      </c>
      <c r="O77" s="45" t="s">
        <v>27</v>
      </c>
      <c r="P77" s="47">
        <f t="shared" si="14"/>
        <v>841.93</v>
      </c>
      <c r="Q77" s="47">
        <f t="shared" si="15"/>
        <v>317407.61</v>
      </c>
      <c r="R77" s="45" t="s">
        <v>29</v>
      </c>
      <c r="S77" s="45" t="s">
        <v>26</v>
      </c>
      <c r="T77" s="46">
        <v>841.93</v>
      </c>
      <c r="U77" s="45" t="s">
        <v>27</v>
      </c>
      <c r="V77" s="47">
        <f t="shared" si="16"/>
        <v>841.93</v>
      </c>
      <c r="W77" s="47">
        <f t="shared" si="17"/>
        <v>317407.61</v>
      </c>
      <c r="X77" s="48">
        <f t="shared" si="18"/>
        <v>841.93</v>
      </c>
      <c r="Y77" s="54"/>
      <c r="Z77" s="50">
        <f t="shared" si="19"/>
        <v>841.93</v>
      </c>
      <c r="AA77" s="51">
        <f t="shared" si="20"/>
        <v>0</v>
      </c>
      <c r="AB77" s="50">
        <f t="shared" si="21"/>
        <v>317407.61</v>
      </c>
    </row>
    <row r="78" spans="1:28" ht="27" x14ac:dyDescent="0.25">
      <c r="A78" s="59">
        <v>69</v>
      </c>
      <c r="B78" s="41" t="s">
        <v>124</v>
      </c>
      <c r="C78" s="42" t="s">
        <v>23</v>
      </c>
      <c r="D78" s="44" t="s">
        <v>32</v>
      </c>
      <c r="E78" s="44">
        <v>150</v>
      </c>
      <c r="F78" s="45" t="s">
        <v>25</v>
      </c>
      <c r="G78" s="45" t="s">
        <v>26</v>
      </c>
      <c r="H78" s="46">
        <v>1899.09</v>
      </c>
      <c r="I78" s="45" t="s">
        <v>27</v>
      </c>
      <c r="J78" s="47">
        <f t="shared" si="12"/>
        <v>1899.09</v>
      </c>
      <c r="K78" s="47">
        <f t="shared" si="13"/>
        <v>284863.5</v>
      </c>
      <c r="L78" s="45" t="s">
        <v>28</v>
      </c>
      <c r="M78" s="45" t="s">
        <v>26</v>
      </c>
      <c r="N78" s="46">
        <v>1899.09</v>
      </c>
      <c r="O78" s="45" t="s">
        <v>27</v>
      </c>
      <c r="P78" s="47">
        <f t="shared" si="14"/>
        <v>1899.09</v>
      </c>
      <c r="Q78" s="47">
        <f t="shared" si="15"/>
        <v>284863.5</v>
      </c>
      <c r="R78" s="45" t="s">
        <v>29</v>
      </c>
      <c r="S78" s="45" t="s">
        <v>26</v>
      </c>
      <c r="T78" s="46">
        <v>1899.09</v>
      </c>
      <c r="U78" s="45" t="s">
        <v>27</v>
      </c>
      <c r="V78" s="47">
        <f t="shared" si="16"/>
        <v>1899.09</v>
      </c>
      <c r="W78" s="47">
        <f t="shared" si="17"/>
        <v>284863.5</v>
      </c>
      <c r="X78" s="48">
        <f t="shared" si="18"/>
        <v>1899.09</v>
      </c>
      <c r="Y78" s="49"/>
      <c r="Z78" s="50">
        <f t="shared" si="19"/>
        <v>1899.09</v>
      </c>
      <c r="AA78" s="51">
        <f t="shared" si="20"/>
        <v>0</v>
      </c>
      <c r="AB78" s="50">
        <f t="shared" si="21"/>
        <v>284863.5</v>
      </c>
    </row>
    <row r="79" spans="1:28" ht="25.5" x14ac:dyDescent="0.25">
      <c r="A79" s="56">
        <v>70</v>
      </c>
      <c r="B79" s="41" t="s">
        <v>125</v>
      </c>
      <c r="C79" s="42" t="s">
        <v>23</v>
      </c>
      <c r="D79" s="44" t="s">
        <v>32</v>
      </c>
      <c r="E79" s="44">
        <v>168</v>
      </c>
      <c r="F79" s="45" t="s">
        <v>25</v>
      </c>
      <c r="G79" s="45" t="s">
        <v>26</v>
      </c>
      <c r="H79" s="46">
        <v>261.69</v>
      </c>
      <c r="I79" s="45" t="s">
        <v>27</v>
      </c>
      <c r="J79" s="47">
        <f t="shared" si="12"/>
        <v>261.69</v>
      </c>
      <c r="K79" s="47">
        <f t="shared" si="13"/>
        <v>43963.92</v>
      </c>
      <c r="L79" s="45" t="s">
        <v>28</v>
      </c>
      <c r="M79" s="45" t="s">
        <v>26</v>
      </c>
      <c r="N79" s="46">
        <v>261.69</v>
      </c>
      <c r="O79" s="45" t="s">
        <v>27</v>
      </c>
      <c r="P79" s="47">
        <f t="shared" si="14"/>
        <v>261.69</v>
      </c>
      <c r="Q79" s="47">
        <f t="shared" si="15"/>
        <v>43963.92</v>
      </c>
      <c r="R79" s="45" t="s">
        <v>29</v>
      </c>
      <c r="S79" s="45" t="s">
        <v>26</v>
      </c>
      <c r="T79" s="46">
        <v>261.69</v>
      </c>
      <c r="U79" s="45" t="s">
        <v>27</v>
      </c>
      <c r="V79" s="47">
        <f t="shared" si="16"/>
        <v>261.69</v>
      </c>
      <c r="W79" s="47">
        <f t="shared" si="17"/>
        <v>43963.92</v>
      </c>
      <c r="X79" s="48">
        <f t="shared" si="18"/>
        <v>261.69</v>
      </c>
      <c r="Y79" s="49"/>
      <c r="Z79" s="50">
        <f t="shared" si="19"/>
        <v>261.69</v>
      </c>
      <c r="AA79" s="51">
        <f t="shared" si="20"/>
        <v>0</v>
      </c>
      <c r="AB79" s="50">
        <f t="shared" si="21"/>
        <v>43963.92</v>
      </c>
    </row>
    <row r="80" spans="1:28" ht="25.5" x14ac:dyDescent="0.25">
      <c r="A80" s="56">
        <v>71</v>
      </c>
      <c r="B80" s="41" t="s">
        <v>126</v>
      </c>
      <c r="C80" s="42" t="s">
        <v>23</v>
      </c>
      <c r="D80" s="44" t="s">
        <v>32</v>
      </c>
      <c r="E80" s="44">
        <v>60</v>
      </c>
      <c r="F80" s="45" t="s">
        <v>25</v>
      </c>
      <c r="G80" s="45" t="s">
        <v>26</v>
      </c>
      <c r="H80" s="46">
        <v>855.31</v>
      </c>
      <c r="I80" s="45" t="s">
        <v>27</v>
      </c>
      <c r="J80" s="47">
        <f t="shared" si="12"/>
        <v>855.31</v>
      </c>
      <c r="K80" s="47">
        <f t="shared" si="13"/>
        <v>51318.6</v>
      </c>
      <c r="L80" s="45" t="s">
        <v>28</v>
      </c>
      <c r="M80" s="45" t="s">
        <v>26</v>
      </c>
      <c r="N80" s="46">
        <v>855.31</v>
      </c>
      <c r="O80" s="45" t="s">
        <v>27</v>
      </c>
      <c r="P80" s="47">
        <f t="shared" si="14"/>
        <v>855.31</v>
      </c>
      <c r="Q80" s="47">
        <f t="shared" si="15"/>
        <v>51318.6</v>
      </c>
      <c r="R80" s="45" t="s">
        <v>29</v>
      </c>
      <c r="S80" s="45" t="s">
        <v>26</v>
      </c>
      <c r="T80" s="46">
        <v>855.31</v>
      </c>
      <c r="U80" s="45" t="s">
        <v>27</v>
      </c>
      <c r="V80" s="47">
        <f t="shared" si="16"/>
        <v>855.31</v>
      </c>
      <c r="W80" s="47">
        <f t="shared" si="17"/>
        <v>51318.6</v>
      </c>
      <c r="X80" s="48">
        <f t="shared" si="18"/>
        <v>855.31</v>
      </c>
      <c r="Y80" s="54"/>
      <c r="Z80" s="50">
        <f t="shared" si="19"/>
        <v>855.31</v>
      </c>
      <c r="AA80" s="51">
        <f t="shared" si="20"/>
        <v>0</v>
      </c>
      <c r="AB80" s="50">
        <f t="shared" si="21"/>
        <v>51318.6</v>
      </c>
    </row>
    <row r="81" spans="1:28" ht="27" x14ac:dyDescent="0.25">
      <c r="A81" s="53">
        <v>72</v>
      </c>
      <c r="B81" s="41" t="s">
        <v>127</v>
      </c>
      <c r="C81" s="42" t="s">
        <v>47</v>
      </c>
      <c r="D81" s="44" t="s">
        <v>24</v>
      </c>
      <c r="E81" s="44">
        <v>3202.8</v>
      </c>
      <c r="F81" s="45" t="s">
        <v>49</v>
      </c>
      <c r="G81" s="45" t="s">
        <v>26</v>
      </c>
      <c r="H81" s="46">
        <v>64.58</v>
      </c>
      <c r="I81" s="45" t="s">
        <v>27</v>
      </c>
      <c r="J81" s="47">
        <f t="shared" si="12"/>
        <v>64.58</v>
      </c>
      <c r="K81" s="47">
        <f t="shared" si="13"/>
        <v>206836.82399999999</v>
      </c>
      <c r="L81" s="45" t="s">
        <v>50</v>
      </c>
      <c r="M81" s="45" t="s">
        <v>26</v>
      </c>
      <c r="N81" s="46">
        <v>65.28</v>
      </c>
      <c r="O81" s="45" t="s">
        <v>27</v>
      </c>
      <c r="P81" s="47">
        <f t="shared" si="14"/>
        <v>65.28</v>
      </c>
      <c r="Q81" s="47">
        <f t="shared" si="15"/>
        <v>209078.78400000001</v>
      </c>
      <c r="R81" s="45" t="s">
        <v>51</v>
      </c>
      <c r="S81" s="45" t="s">
        <v>26</v>
      </c>
      <c r="T81" s="46">
        <f>80.57/1.22</f>
        <v>66.040983606557376</v>
      </c>
      <c r="U81" s="45" t="s">
        <v>27</v>
      </c>
      <c r="V81" s="47">
        <f t="shared" si="16"/>
        <v>66.040983606557376</v>
      </c>
      <c r="W81" s="47">
        <f t="shared" si="17"/>
        <v>211516.06229508197</v>
      </c>
      <c r="X81" s="48">
        <f t="shared" si="18"/>
        <v>64.58</v>
      </c>
      <c r="Y81" s="49"/>
      <c r="Z81" s="50">
        <f t="shared" si="19"/>
        <v>65.300327868852463</v>
      </c>
      <c r="AA81" s="51">
        <f t="shared" si="20"/>
        <v>-1.1030999266943269</v>
      </c>
      <c r="AB81" s="50">
        <f t="shared" si="21"/>
        <v>206836.82399999999</v>
      </c>
    </row>
    <row r="82" spans="1:28" ht="25.5" x14ac:dyDescent="0.25">
      <c r="A82" s="40">
        <v>73</v>
      </c>
      <c r="B82" s="41" t="s">
        <v>128</v>
      </c>
      <c r="C82" s="42" t="s">
        <v>47</v>
      </c>
      <c r="D82" s="44" t="s">
        <v>32</v>
      </c>
      <c r="E82" s="44">
        <v>3</v>
      </c>
      <c r="F82" s="45" t="s">
        <v>49</v>
      </c>
      <c r="G82" s="45" t="s">
        <v>26</v>
      </c>
      <c r="H82" s="46">
        <v>168.46</v>
      </c>
      <c r="I82" s="45" t="s">
        <v>27</v>
      </c>
      <c r="J82" s="47">
        <f t="shared" si="12"/>
        <v>168.46</v>
      </c>
      <c r="K82" s="47">
        <f t="shared" si="13"/>
        <v>505.38</v>
      </c>
      <c r="L82" s="45" t="s">
        <v>50</v>
      </c>
      <c r="M82" s="45" t="s">
        <v>26</v>
      </c>
      <c r="N82" s="46">
        <v>169.3</v>
      </c>
      <c r="O82" s="45" t="s">
        <v>27</v>
      </c>
      <c r="P82" s="47">
        <f t="shared" si="14"/>
        <v>169.3</v>
      </c>
      <c r="Q82" s="47">
        <f t="shared" si="15"/>
        <v>507.90000000000003</v>
      </c>
      <c r="R82" s="45" t="s">
        <v>51</v>
      </c>
      <c r="S82" s="45" t="s">
        <v>26</v>
      </c>
      <c r="T82" s="46">
        <f>208.07/1.22</f>
        <v>170.54918032786884</v>
      </c>
      <c r="U82" s="45" t="s">
        <v>27</v>
      </c>
      <c r="V82" s="47">
        <f t="shared" si="16"/>
        <v>170.54918032786884</v>
      </c>
      <c r="W82" s="47">
        <f t="shared" si="17"/>
        <v>511.64754098360652</v>
      </c>
      <c r="X82" s="48">
        <f t="shared" si="18"/>
        <v>168.46</v>
      </c>
      <c r="Y82" s="49"/>
      <c r="Z82" s="50">
        <f t="shared" si="19"/>
        <v>169.43639344262294</v>
      </c>
      <c r="AA82" s="51">
        <f t="shared" si="20"/>
        <v>-0.57625957610670753</v>
      </c>
      <c r="AB82" s="50">
        <f t="shared" si="21"/>
        <v>505.38</v>
      </c>
    </row>
    <row r="83" spans="1:28" ht="25.5" x14ac:dyDescent="0.25">
      <c r="A83" s="40">
        <v>74</v>
      </c>
      <c r="B83" s="41" t="s">
        <v>129</v>
      </c>
      <c r="C83" s="42" t="s">
        <v>23</v>
      </c>
      <c r="D83" s="44" t="s">
        <v>130</v>
      </c>
      <c r="E83" s="44">
        <v>36</v>
      </c>
      <c r="F83" s="45" t="s">
        <v>25</v>
      </c>
      <c r="G83" s="45" t="s">
        <v>26</v>
      </c>
      <c r="H83" s="46">
        <v>843.83</v>
      </c>
      <c r="I83" s="45" t="s">
        <v>27</v>
      </c>
      <c r="J83" s="47">
        <f t="shared" si="12"/>
        <v>843.83</v>
      </c>
      <c r="K83" s="47">
        <f t="shared" si="13"/>
        <v>30377.88</v>
      </c>
      <c r="L83" s="45" t="s">
        <v>28</v>
      </c>
      <c r="M83" s="45" t="s">
        <v>26</v>
      </c>
      <c r="N83" s="46">
        <v>843.83</v>
      </c>
      <c r="O83" s="45" t="s">
        <v>27</v>
      </c>
      <c r="P83" s="47">
        <f t="shared" si="14"/>
        <v>843.83</v>
      </c>
      <c r="Q83" s="47">
        <f t="shared" si="15"/>
        <v>30377.88</v>
      </c>
      <c r="R83" s="45" t="s">
        <v>29</v>
      </c>
      <c r="S83" s="45" t="s">
        <v>26</v>
      </c>
      <c r="T83" s="46">
        <v>888.22</v>
      </c>
      <c r="U83" s="45" t="s">
        <v>27</v>
      </c>
      <c r="V83" s="47">
        <f t="shared" si="16"/>
        <v>888.22</v>
      </c>
      <c r="W83" s="47">
        <f t="shared" si="17"/>
        <v>31975.920000000002</v>
      </c>
      <c r="X83" s="48">
        <f t="shared" si="18"/>
        <v>843.83</v>
      </c>
      <c r="Y83" s="54"/>
      <c r="Z83" s="50">
        <f t="shared" si="19"/>
        <v>858.62666666666667</v>
      </c>
      <c r="AA83" s="51">
        <f t="shared" si="20"/>
        <v>-1.7232945634113435</v>
      </c>
      <c r="AB83" s="50">
        <f t="shared" si="21"/>
        <v>30377.88</v>
      </c>
    </row>
    <row r="84" spans="1:28" ht="45" x14ac:dyDescent="0.25">
      <c r="A84" s="53">
        <v>75</v>
      </c>
      <c r="B84" s="41" t="s">
        <v>131</v>
      </c>
      <c r="C84" s="42" t="s">
        <v>23</v>
      </c>
      <c r="D84" s="44" t="s">
        <v>32</v>
      </c>
      <c r="E84" s="44">
        <v>4</v>
      </c>
      <c r="F84" s="45" t="s">
        <v>25</v>
      </c>
      <c r="G84" s="45" t="s">
        <v>26</v>
      </c>
      <c r="H84" s="46">
        <v>26456.86</v>
      </c>
      <c r="I84" s="45" t="s">
        <v>27</v>
      </c>
      <c r="J84" s="47">
        <f t="shared" si="12"/>
        <v>26456.86</v>
      </c>
      <c r="K84" s="47">
        <f t="shared" si="13"/>
        <v>105827.44</v>
      </c>
      <c r="L84" s="45" t="s">
        <v>28</v>
      </c>
      <c r="M84" s="45" t="s">
        <v>26</v>
      </c>
      <c r="N84" s="46">
        <v>26457</v>
      </c>
      <c r="O84" s="45" t="s">
        <v>27</v>
      </c>
      <c r="P84" s="47">
        <f t="shared" si="14"/>
        <v>26457</v>
      </c>
      <c r="Q84" s="47">
        <f t="shared" si="15"/>
        <v>105828</v>
      </c>
      <c r="R84" s="45" t="s">
        <v>29</v>
      </c>
      <c r="S84" s="45" t="s">
        <v>26</v>
      </c>
      <c r="T84" s="46">
        <v>27848.51</v>
      </c>
      <c r="U84" s="45" t="s">
        <v>27</v>
      </c>
      <c r="V84" s="47">
        <f t="shared" si="16"/>
        <v>27848.51</v>
      </c>
      <c r="W84" s="47">
        <f t="shared" si="17"/>
        <v>111394.04</v>
      </c>
      <c r="X84" s="48">
        <f t="shared" si="18"/>
        <v>26456.86</v>
      </c>
      <c r="Y84" s="49" t="s">
        <v>132</v>
      </c>
      <c r="Z84" s="50">
        <f t="shared" si="19"/>
        <v>26920.789999999997</v>
      </c>
      <c r="AA84" s="51">
        <f t="shared" si="20"/>
        <v>-1.7233149547245716</v>
      </c>
      <c r="AB84" s="50">
        <f t="shared" si="21"/>
        <v>105827.44</v>
      </c>
    </row>
    <row r="85" spans="1:28" ht="27" x14ac:dyDescent="0.25">
      <c r="A85" s="40">
        <v>76</v>
      </c>
      <c r="B85" s="41" t="s">
        <v>133</v>
      </c>
      <c r="C85" s="42" t="s">
        <v>23</v>
      </c>
      <c r="D85" s="44" t="s">
        <v>48</v>
      </c>
      <c r="E85" s="44">
        <v>13</v>
      </c>
      <c r="F85" s="45" t="s">
        <v>25</v>
      </c>
      <c r="G85" s="45" t="s">
        <v>26</v>
      </c>
      <c r="H85" s="46">
        <v>2172.5</v>
      </c>
      <c r="I85" s="45" t="s">
        <v>27</v>
      </c>
      <c r="J85" s="47">
        <f t="shared" si="12"/>
        <v>2172.5</v>
      </c>
      <c r="K85" s="47">
        <f t="shared" si="13"/>
        <v>28242.5</v>
      </c>
      <c r="L85" s="45" t="s">
        <v>28</v>
      </c>
      <c r="M85" s="45" t="s">
        <v>26</v>
      </c>
      <c r="N85" s="46">
        <v>2172.5</v>
      </c>
      <c r="O85" s="45" t="s">
        <v>27</v>
      </c>
      <c r="P85" s="47">
        <f t="shared" si="14"/>
        <v>2172.5</v>
      </c>
      <c r="Q85" s="47">
        <f t="shared" si="15"/>
        <v>28242.5</v>
      </c>
      <c r="R85" s="45" t="s">
        <v>29</v>
      </c>
      <c r="S85" s="45" t="s">
        <v>26</v>
      </c>
      <c r="T85" s="46">
        <v>2172.52</v>
      </c>
      <c r="U85" s="45" t="s">
        <v>27</v>
      </c>
      <c r="V85" s="47">
        <f t="shared" si="16"/>
        <v>2172.52</v>
      </c>
      <c r="W85" s="47">
        <f t="shared" si="17"/>
        <v>28242.76</v>
      </c>
      <c r="X85" s="48">
        <f t="shared" si="18"/>
        <v>2172.5</v>
      </c>
      <c r="Y85" s="49"/>
      <c r="Z85" s="50">
        <f t="shared" si="19"/>
        <v>2172.5066666666667</v>
      </c>
      <c r="AA85" s="51">
        <f t="shared" si="20"/>
        <v>-3.0686518798006546E-4</v>
      </c>
      <c r="AB85" s="50">
        <f t="shared" si="21"/>
        <v>28242.5</v>
      </c>
    </row>
    <row r="86" spans="1:28" ht="25.5" x14ac:dyDescent="0.25">
      <c r="A86" s="40">
        <v>77</v>
      </c>
      <c r="B86" s="41" t="s">
        <v>134</v>
      </c>
      <c r="C86" s="42" t="s">
        <v>23</v>
      </c>
      <c r="D86" s="44" t="s">
        <v>32</v>
      </c>
      <c r="E86" s="44">
        <v>13</v>
      </c>
      <c r="F86" s="45" t="s">
        <v>25</v>
      </c>
      <c r="G86" s="45" t="s">
        <v>26</v>
      </c>
      <c r="H86" s="46">
        <v>1215.81</v>
      </c>
      <c r="I86" s="45" t="s">
        <v>27</v>
      </c>
      <c r="J86" s="47">
        <f t="shared" si="12"/>
        <v>1215.81</v>
      </c>
      <c r="K86" s="47">
        <f t="shared" si="13"/>
        <v>15805.529999999999</v>
      </c>
      <c r="L86" s="45" t="s">
        <v>28</v>
      </c>
      <c r="M86" s="45" t="s">
        <v>26</v>
      </c>
      <c r="N86" s="46">
        <v>1216</v>
      </c>
      <c r="O86" s="45" t="s">
        <v>27</v>
      </c>
      <c r="P86" s="47">
        <f t="shared" si="14"/>
        <v>1216</v>
      </c>
      <c r="Q86" s="47">
        <f t="shared" si="15"/>
        <v>15808</v>
      </c>
      <c r="R86" s="45" t="s">
        <v>29</v>
      </c>
      <c r="S86" s="45" t="s">
        <v>26</v>
      </c>
      <c r="T86" s="46">
        <v>1279.77</v>
      </c>
      <c r="U86" s="45" t="s">
        <v>27</v>
      </c>
      <c r="V86" s="47">
        <f t="shared" si="16"/>
        <v>1279.77</v>
      </c>
      <c r="W86" s="47">
        <f t="shared" si="17"/>
        <v>16637.009999999998</v>
      </c>
      <c r="X86" s="48">
        <f t="shared" si="18"/>
        <v>1215.81</v>
      </c>
      <c r="Y86" s="54"/>
      <c r="Z86" s="50">
        <f t="shared" si="19"/>
        <v>1237.1933333333334</v>
      </c>
      <c r="AA86" s="51">
        <f t="shared" si="20"/>
        <v>-1.7283744389181948</v>
      </c>
      <c r="AB86" s="50">
        <f t="shared" si="21"/>
        <v>15805.529999999999</v>
      </c>
    </row>
    <row r="87" spans="1:28" ht="25.5" x14ac:dyDescent="0.25">
      <c r="A87" s="53">
        <v>78</v>
      </c>
      <c r="B87" s="41" t="s">
        <v>135</v>
      </c>
      <c r="C87" s="42" t="s">
        <v>23</v>
      </c>
      <c r="D87" s="44" t="s">
        <v>32</v>
      </c>
      <c r="E87" s="44">
        <v>3</v>
      </c>
      <c r="F87" s="45" t="s">
        <v>25</v>
      </c>
      <c r="G87" s="45" t="s">
        <v>26</v>
      </c>
      <c r="H87" s="46">
        <v>1337.39</v>
      </c>
      <c r="I87" s="45" t="s">
        <v>27</v>
      </c>
      <c r="J87" s="47">
        <f t="shared" si="12"/>
        <v>1337.39</v>
      </c>
      <c r="K87" s="47">
        <f t="shared" si="13"/>
        <v>4012.17</v>
      </c>
      <c r="L87" s="45" t="s">
        <v>28</v>
      </c>
      <c r="M87" s="45" t="s">
        <v>26</v>
      </c>
      <c r="N87" s="46">
        <v>1337.5</v>
      </c>
      <c r="O87" s="45" t="s">
        <v>27</v>
      </c>
      <c r="P87" s="47">
        <f t="shared" si="14"/>
        <v>1337.5</v>
      </c>
      <c r="Q87" s="47">
        <f t="shared" si="15"/>
        <v>4012.5</v>
      </c>
      <c r="R87" s="45" t="s">
        <v>29</v>
      </c>
      <c r="S87" s="45" t="s">
        <v>26</v>
      </c>
      <c r="T87" s="46">
        <v>1407.74</v>
      </c>
      <c r="U87" s="45" t="s">
        <v>27</v>
      </c>
      <c r="V87" s="47">
        <f t="shared" si="16"/>
        <v>1407.74</v>
      </c>
      <c r="W87" s="47">
        <f t="shared" si="17"/>
        <v>4223.22</v>
      </c>
      <c r="X87" s="48">
        <f t="shared" si="18"/>
        <v>1337.39</v>
      </c>
      <c r="Y87" s="49"/>
      <c r="Z87" s="50">
        <f t="shared" si="19"/>
        <v>1360.8766666666668</v>
      </c>
      <c r="AA87" s="51">
        <f t="shared" si="20"/>
        <v>-1.7258482889705959</v>
      </c>
      <c r="AB87" s="50">
        <f t="shared" si="21"/>
        <v>4012.17</v>
      </c>
    </row>
    <row r="88" spans="1:28" ht="25.5" x14ac:dyDescent="0.25">
      <c r="A88" s="40">
        <v>79</v>
      </c>
      <c r="B88" s="41" t="s">
        <v>136</v>
      </c>
      <c r="C88" s="42" t="s">
        <v>23</v>
      </c>
      <c r="D88" s="44" t="s">
        <v>32</v>
      </c>
      <c r="E88" s="44">
        <v>10</v>
      </c>
      <c r="F88" s="45" t="s">
        <v>25</v>
      </c>
      <c r="G88" s="45" t="s">
        <v>26</v>
      </c>
      <c r="H88" s="46">
        <v>872.59</v>
      </c>
      <c r="I88" s="45" t="s">
        <v>27</v>
      </c>
      <c r="J88" s="47">
        <f t="shared" si="12"/>
        <v>872.59</v>
      </c>
      <c r="K88" s="47">
        <f t="shared" si="13"/>
        <v>8725.9</v>
      </c>
      <c r="L88" s="45" t="s">
        <v>28</v>
      </c>
      <c r="M88" s="45" t="s">
        <v>26</v>
      </c>
      <c r="N88" s="46">
        <v>873</v>
      </c>
      <c r="O88" s="45" t="s">
        <v>27</v>
      </c>
      <c r="P88" s="47">
        <f t="shared" si="14"/>
        <v>873</v>
      </c>
      <c r="Q88" s="47">
        <f t="shared" si="15"/>
        <v>8730</v>
      </c>
      <c r="R88" s="45" t="s">
        <v>29</v>
      </c>
      <c r="S88" s="45" t="s">
        <v>26</v>
      </c>
      <c r="T88" s="46">
        <v>918.49</v>
      </c>
      <c r="U88" s="45" t="s">
        <v>27</v>
      </c>
      <c r="V88" s="47">
        <f t="shared" si="16"/>
        <v>918.49</v>
      </c>
      <c r="W88" s="47">
        <f t="shared" si="17"/>
        <v>9184.9</v>
      </c>
      <c r="X88" s="48">
        <f t="shared" si="18"/>
        <v>872.59</v>
      </c>
      <c r="Y88" s="49"/>
      <c r="Z88" s="50">
        <f t="shared" si="19"/>
        <v>888.02666666666664</v>
      </c>
      <c r="AA88" s="51">
        <f t="shared" si="20"/>
        <v>-1.7383111618269709</v>
      </c>
      <c r="AB88" s="50">
        <f t="shared" si="21"/>
        <v>8725.9</v>
      </c>
    </row>
    <row r="89" spans="1:28" ht="25.5" x14ac:dyDescent="0.25">
      <c r="A89" s="40">
        <v>80</v>
      </c>
      <c r="B89" s="41" t="s">
        <v>137</v>
      </c>
      <c r="C89" s="42" t="s">
        <v>23</v>
      </c>
      <c r="D89" s="44" t="s">
        <v>32</v>
      </c>
      <c r="E89" s="44">
        <v>30</v>
      </c>
      <c r="F89" s="45" t="s">
        <v>25</v>
      </c>
      <c r="G89" s="45" t="s">
        <v>26</v>
      </c>
      <c r="H89" s="46">
        <v>2946.45</v>
      </c>
      <c r="I89" s="45" t="s">
        <v>27</v>
      </c>
      <c r="J89" s="47">
        <f t="shared" si="12"/>
        <v>2946.45</v>
      </c>
      <c r="K89" s="47">
        <f t="shared" si="13"/>
        <v>88393.5</v>
      </c>
      <c r="L89" s="45" t="s">
        <v>28</v>
      </c>
      <c r="M89" s="45" t="s">
        <v>26</v>
      </c>
      <c r="N89" s="46">
        <v>2946.5</v>
      </c>
      <c r="O89" s="45" t="s">
        <v>27</v>
      </c>
      <c r="P89" s="47">
        <f t="shared" si="14"/>
        <v>2946.5</v>
      </c>
      <c r="Q89" s="47">
        <f t="shared" si="15"/>
        <v>88395</v>
      </c>
      <c r="R89" s="45" t="s">
        <v>29</v>
      </c>
      <c r="S89" s="45" t="s">
        <v>26</v>
      </c>
      <c r="T89" s="46">
        <v>3101.44</v>
      </c>
      <c r="U89" s="45" t="s">
        <v>27</v>
      </c>
      <c r="V89" s="47">
        <f t="shared" si="16"/>
        <v>3101.44</v>
      </c>
      <c r="W89" s="47">
        <f t="shared" si="17"/>
        <v>93043.199999999997</v>
      </c>
      <c r="X89" s="48">
        <f t="shared" si="18"/>
        <v>2946.45</v>
      </c>
      <c r="Y89" s="54"/>
      <c r="Z89" s="50">
        <f t="shared" si="19"/>
        <v>2998.1299999999997</v>
      </c>
      <c r="AA89" s="51">
        <f t="shared" si="20"/>
        <v>-1.7237411319722469</v>
      </c>
      <c r="AB89" s="50">
        <f t="shared" si="21"/>
        <v>88393.5</v>
      </c>
    </row>
    <row r="90" spans="1:28" ht="25.5" x14ac:dyDescent="0.25">
      <c r="A90" s="53">
        <v>81</v>
      </c>
      <c r="B90" s="41" t="s">
        <v>138</v>
      </c>
      <c r="C90" s="42" t="s">
        <v>23</v>
      </c>
      <c r="D90" s="44" t="s">
        <v>32</v>
      </c>
      <c r="E90" s="44">
        <v>4</v>
      </c>
      <c r="F90" s="45" t="s">
        <v>25</v>
      </c>
      <c r="G90" s="45" t="s">
        <v>26</v>
      </c>
      <c r="H90" s="46">
        <v>3593.73</v>
      </c>
      <c r="I90" s="45" t="s">
        <v>27</v>
      </c>
      <c r="J90" s="47">
        <f t="shared" si="12"/>
        <v>3593.73</v>
      </c>
      <c r="K90" s="47">
        <f t="shared" si="13"/>
        <v>14374.92</v>
      </c>
      <c r="L90" s="45" t="s">
        <v>28</v>
      </c>
      <c r="M90" s="45" t="s">
        <v>26</v>
      </c>
      <c r="N90" s="46">
        <v>3594</v>
      </c>
      <c r="O90" s="45" t="s">
        <v>27</v>
      </c>
      <c r="P90" s="47">
        <f t="shared" si="14"/>
        <v>3594</v>
      </c>
      <c r="Q90" s="47">
        <f t="shared" si="15"/>
        <v>14376</v>
      </c>
      <c r="R90" s="45" t="s">
        <v>29</v>
      </c>
      <c r="S90" s="45" t="s">
        <v>26</v>
      </c>
      <c r="T90" s="46">
        <v>3782.76</v>
      </c>
      <c r="U90" s="45" t="s">
        <v>27</v>
      </c>
      <c r="V90" s="47">
        <f t="shared" si="16"/>
        <v>3782.76</v>
      </c>
      <c r="W90" s="47">
        <f t="shared" si="17"/>
        <v>15131.04</v>
      </c>
      <c r="X90" s="48">
        <f t="shared" si="18"/>
        <v>3593.73</v>
      </c>
      <c r="Y90" s="49"/>
      <c r="Z90" s="50">
        <f t="shared" si="19"/>
        <v>3656.83</v>
      </c>
      <c r="AA90" s="51">
        <f t="shared" si="20"/>
        <v>-1.7255382394040737</v>
      </c>
      <c r="AB90" s="50">
        <f t="shared" si="21"/>
        <v>14374.92</v>
      </c>
    </row>
    <row r="91" spans="1:28" ht="25.5" x14ac:dyDescent="0.25">
      <c r="A91" s="40">
        <v>82</v>
      </c>
      <c r="B91" s="41" t="s">
        <v>139</v>
      </c>
      <c r="C91" s="42" t="s">
        <v>23</v>
      </c>
      <c r="D91" s="44" t="s">
        <v>32</v>
      </c>
      <c r="E91" s="44">
        <v>60</v>
      </c>
      <c r="F91" s="45" t="s">
        <v>25</v>
      </c>
      <c r="G91" s="45" t="s">
        <v>26</v>
      </c>
      <c r="H91" s="46">
        <v>3177.72</v>
      </c>
      <c r="I91" s="45" t="s">
        <v>27</v>
      </c>
      <c r="J91" s="47">
        <f t="shared" si="12"/>
        <v>3177.72</v>
      </c>
      <c r="K91" s="47">
        <f t="shared" si="13"/>
        <v>190663.19999999998</v>
      </c>
      <c r="L91" s="45" t="s">
        <v>28</v>
      </c>
      <c r="M91" s="45" t="s">
        <v>26</v>
      </c>
      <c r="N91" s="46">
        <v>3178</v>
      </c>
      <c r="O91" s="45" t="s">
        <v>27</v>
      </c>
      <c r="P91" s="47">
        <f t="shared" si="14"/>
        <v>3178</v>
      </c>
      <c r="Q91" s="47">
        <f t="shared" si="15"/>
        <v>190680</v>
      </c>
      <c r="R91" s="45" t="s">
        <v>29</v>
      </c>
      <c r="S91" s="45" t="s">
        <v>26</v>
      </c>
      <c r="T91" s="46">
        <v>3177.74</v>
      </c>
      <c r="U91" s="45" t="s">
        <v>27</v>
      </c>
      <c r="V91" s="47">
        <f t="shared" si="16"/>
        <v>3177.74</v>
      </c>
      <c r="W91" s="47">
        <f t="shared" si="17"/>
        <v>190664.4</v>
      </c>
      <c r="X91" s="48">
        <f t="shared" si="18"/>
        <v>3177.72</v>
      </c>
      <c r="Y91" s="49"/>
      <c r="Z91" s="50">
        <f t="shared" si="19"/>
        <v>3177.8199999999997</v>
      </c>
      <c r="AA91" s="51">
        <f t="shared" si="20"/>
        <v>-3.14681133606598E-3</v>
      </c>
      <c r="AB91" s="50">
        <f t="shared" si="21"/>
        <v>190663.19999999998</v>
      </c>
    </row>
    <row r="92" spans="1:28" ht="25.5" x14ac:dyDescent="0.25">
      <c r="A92" s="40">
        <v>83</v>
      </c>
      <c r="B92" s="41" t="s">
        <v>140</v>
      </c>
      <c r="C92" s="42" t="s">
        <v>23</v>
      </c>
      <c r="D92" s="44" t="s">
        <v>32</v>
      </c>
      <c r="E92" s="44">
        <v>9</v>
      </c>
      <c r="F92" s="45" t="s">
        <v>25</v>
      </c>
      <c r="G92" s="45" t="s">
        <v>26</v>
      </c>
      <c r="H92" s="46">
        <v>4903.8999999999996</v>
      </c>
      <c r="I92" s="45" t="s">
        <v>27</v>
      </c>
      <c r="J92" s="47">
        <f t="shared" si="12"/>
        <v>4903.8999999999996</v>
      </c>
      <c r="K92" s="47">
        <f t="shared" si="13"/>
        <v>44135.1</v>
      </c>
      <c r="L92" s="45" t="s">
        <v>28</v>
      </c>
      <c r="M92" s="45" t="s">
        <v>26</v>
      </c>
      <c r="N92" s="46">
        <v>4904</v>
      </c>
      <c r="O92" s="45" t="s">
        <v>27</v>
      </c>
      <c r="P92" s="47">
        <f t="shared" si="14"/>
        <v>4904</v>
      </c>
      <c r="Q92" s="47">
        <f t="shared" si="15"/>
        <v>44136</v>
      </c>
      <c r="R92" s="45" t="s">
        <v>29</v>
      </c>
      <c r="S92" s="45" t="s">
        <v>26</v>
      </c>
      <c r="T92" s="46">
        <v>4903.9399999999996</v>
      </c>
      <c r="U92" s="45" t="s">
        <v>27</v>
      </c>
      <c r="V92" s="47">
        <f t="shared" si="16"/>
        <v>4903.9399999999996</v>
      </c>
      <c r="W92" s="47">
        <f t="shared" si="17"/>
        <v>44135.46</v>
      </c>
      <c r="X92" s="48">
        <f t="shared" si="18"/>
        <v>4903.8999999999996</v>
      </c>
      <c r="Y92" s="54"/>
      <c r="Z92" s="50">
        <f t="shared" si="19"/>
        <v>4903.9466666666667</v>
      </c>
      <c r="AA92" s="51">
        <f t="shared" si="20"/>
        <v>-9.5161448194858167E-4</v>
      </c>
      <c r="AB92" s="50">
        <f t="shared" si="21"/>
        <v>44135.1</v>
      </c>
    </row>
    <row r="93" spans="1:28" ht="25.5" x14ac:dyDescent="0.25">
      <c r="A93" s="53">
        <v>84</v>
      </c>
      <c r="B93" s="41" t="s">
        <v>141</v>
      </c>
      <c r="C93" s="42" t="s">
        <v>23</v>
      </c>
      <c r="D93" s="44" t="s">
        <v>142</v>
      </c>
      <c r="E93" s="44">
        <v>13</v>
      </c>
      <c r="F93" s="45" t="s">
        <v>25</v>
      </c>
      <c r="G93" s="45" t="s">
        <v>26</v>
      </c>
      <c r="H93" s="46">
        <v>1264.67</v>
      </c>
      <c r="I93" s="45" t="s">
        <v>27</v>
      </c>
      <c r="J93" s="47">
        <f t="shared" si="12"/>
        <v>1264.67</v>
      </c>
      <c r="K93" s="47">
        <f t="shared" si="13"/>
        <v>16440.71</v>
      </c>
      <c r="L93" s="45" t="s">
        <v>28</v>
      </c>
      <c r="M93" s="45" t="s">
        <v>26</v>
      </c>
      <c r="N93" s="46">
        <v>1265</v>
      </c>
      <c r="O93" s="45" t="s">
        <v>27</v>
      </c>
      <c r="P93" s="47">
        <f t="shared" si="14"/>
        <v>1265</v>
      </c>
      <c r="Q93" s="47">
        <f t="shared" si="15"/>
        <v>16445</v>
      </c>
      <c r="R93" s="45" t="s">
        <v>29</v>
      </c>
      <c r="S93" s="45" t="s">
        <v>26</v>
      </c>
      <c r="T93" s="46">
        <v>1264.68</v>
      </c>
      <c r="U93" s="45" t="s">
        <v>27</v>
      </c>
      <c r="V93" s="47">
        <f t="shared" si="16"/>
        <v>1264.68</v>
      </c>
      <c r="W93" s="47">
        <f t="shared" si="17"/>
        <v>16440.84</v>
      </c>
      <c r="X93" s="48">
        <f t="shared" si="18"/>
        <v>1264.67</v>
      </c>
      <c r="Y93" s="49"/>
      <c r="Z93" s="50">
        <f t="shared" si="19"/>
        <v>1264.7833333333335</v>
      </c>
      <c r="AA93" s="51">
        <f t="shared" si="20"/>
        <v>-8.9606915545630272E-3</v>
      </c>
      <c r="AB93" s="50">
        <f t="shared" si="21"/>
        <v>16440.71</v>
      </c>
    </row>
    <row r="94" spans="1:28" ht="25.5" x14ac:dyDescent="0.25">
      <c r="A94" s="40">
        <v>85</v>
      </c>
      <c r="B94" s="41" t="s">
        <v>143</v>
      </c>
      <c r="C94" s="42" t="s">
        <v>23</v>
      </c>
      <c r="D94" s="44" t="s">
        <v>32</v>
      </c>
      <c r="E94" s="44">
        <v>23</v>
      </c>
      <c r="F94" s="45" t="s">
        <v>25</v>
      </c>
      <c r="G94" s="45" t="s">
        <v>26</v>
      </c>
      <c r="H94" s="46">
        <v>11765.68</v>
      </c>
      <c r="I94" s="45" t="s">
        <v>27</v>
      </c>
      <c r="J94" s="47">
        <f t="shared" si="12"/>
        <v>11765.68</v>
      </c>
      <c r="K94" s="47">
        <f t="shared" si="13"/>
        <v>270610.64</v>
      </c>
      <c r="L94" s="45" t="s">
        <v>28</v>
      </c>
      <c r="M94" s="45" t="s">
        <v>26</v>
      </c>
      <c r="N94" s="46">
        <v>11766</v>
      </c>
      <c r="O94" s="45" t="s">
        <v>27</v>
      </c>
      <c r="P94" s="47">
        <f t="shared" si="14"/>
        <v>11766</v>
      </c>
      <c r="Q94" s="47">
        <f t="shared" si="15"/>
        <v>270618</v>
      </c>
      <c r="R94" s="45" t="s">
        <v>29</v>
      </c>
      <c r="S94" s="45" t="s">
        <v>26</v>
      </c>
      <c r="T94" s="46">
        <v>12384.57</v>
      </c>
      <c r="U94" s="45" t="s">
        <v>27</v>
      </c>
      <c r="V94" s="47">
        <f t="shared" si="16"/>
        <v>12384.57</v>
      </c>
      <c r="W94" s="47">
        <f t="shared" si="17"/>
        <v>284845.11</v>
      </c>
      <c r="X94" s="48">
        <f t="shared" si="18"/>
        <v>11765.68</v>
      </c>
      <c r="Y94" s="49"/>
      <c r="Z94" s="50">
        <f t="shared" si="19"/>
        <v>11972.083333333334</v>
      </c>
      <c r="AA94" s="51">
        <f t="shared" si="20"/>
        <v>-1.7240385619322751</v>
      </c>
      <c r="AB94" s="50">
        <f t="shared" si="21"/>
        <v>270610.64</v>
      </c>
    </row>
    <row r="95" spans="1:28" ht="25.5" x14ac:dyDescent="0.25">
      <c r="A95" s="40">
        <v>86</v>
      </c>
      <c r="B95" s="41" t="s">
        <v>144</v>
      </c>
      <c r="C95" s="42" t="s">
        <v>23</v>
      </c>
      <c r="D95" s="44" t="s">
        <v>32</v>
      </c>
      <c r="E95" s="44">
        <v>3</v>
      </c>
      <c r="F95" s="45" t="s">
        <v>25</v>
      </c>
      <c r="G95" s="45" t="s">
        <v>26</v>
      </c>
      <c r="H95" s="46">
        <v>14220.44</v>
      </c>
      <c r="I95" s="45" t="s">
        <v>27</v>
      </c>
      <c r="J95" s="47">
        <f t="shared" si="12"/>
        <v>14220.44</v>
      </c>
      <c r="K95" s="47">
        <f t="shared" si="13"/>
        <v>42661.32</v>
      </c>
      <c r="L95" s="45" t="s">
        <v>28</v>
      </c>
      <c r="M95" s="45" t="s">
        <v>26</v>
      </c>
      <c r="N95" s="46">
        <v>14220.5</v>
      </c>
      <c r="O95" s="45" t="s">
        <v>27</v>
      </c>
      <c r="P95" s="47">
        <f t="shared" si="14"/>
        <v>14220.5</v>
      </c>
      <c r="Q95" s="47">
        <f t="shared" si="15"/>
        <v>42661.5</v>
      </c>
      <c r="R95" s="45" t="s">
        <v>29</v>
      </c>
      <c r="S95" s="45" t="s">
        <v>26</v>
      </c>
      <c r="T95" s="46">
        <v>14968.45</v>
      </c>
      <c r="U95" s="45" t="s">
        <v>27</v>
      </c>
      <c r="V95" s="47">
        <f t="shared" si="16"/>
        <v>14968.45</v>
      </c>
      <c r="W95" s="47">
        <f t="shared" si="17"/>
        <v>44905.350000000006</v>
      </c>
      <c r="X95" s="48">
        <f t="shared" si="18"/>
        <v>14220.44</v>
      </c>
      <c r="Y95" s="54"/>
      <c r="Z95" s="50">
        <f t="shared" si="19"/>
        <v>14469.796666666667</v>
      </c>
      <c r="AA95" s="51">
        <f t="shared" si="20"/>
        <v>-1.7232907442376018</v>
      </c>
      <c r="AB95" s="50">
        <f t="shared" si="21"/>
        <v>42661.32</v>
      </c>
    </row>
    <row r="96" spans="1:28" ht="25.5" x14ac:dyDescent="0.25">
      <c r="A96" s="53">
        <v>87</v>
      </c>
      <c r="B96" s="41" t="s">
        <v>145</v>
      </c>
      <c r="C96" s="42" t="s">
        <v>23</v>
      </c>
      <c r="D96" s="44" t="s">
        <v>32</v>
      </c>
      <c r="E96" s="44">
        <v>2</v>
      </c>
      <c r="F96" s="45" t="s">
        <v>25</v>
      </c>
      <c r="G96" s="45" t="s">
        <v>26</v>
      </c>
      <c r="H96" s="46">
        <v>30679.63</v>
      </c>
      <c r="I96" s="45" t="s">
        <v>27</v>
      </c>
      <c r="J96" s="47">
        <f t="shared" si="12"/>
        <v>30679.63</v>
      </c>
      <c r="K96" s="47">
        <f t="shared" si="13"/>
        <v>61359.26</v>
      </c>
      <c r="L96" s="45" t="s">
        <v>28</v>
      </c>
      <c r="M96" s="45" t="s">
        <v>26</v>
      </c>
      <c r="N96" s="46">
        <v>30680</v>
      </c>
      <c r="O96" s="45" t="s">
        <v>27</v>
      </c>
      <c r="P96" s="47">
        <f t="shared" si="14"/>
        <v>30680</v>
      </c>
      <c r="Q96" s="47">
        <f t="shared" si="15"/>
        <v>61360</v>
      </c>
      <c r="R96" s="45" t="s">
        <v>29</v>
      </c>
      <c r="S96" s="45" t="s">
        <v>26</v>
      </c>
      <c r="T96" s="46">
        <v>32293.4</v>
      </c>
      <c r="U96" s="45" t="s">
        <v>27</v>
      </c>
      <c r="V96" s="47">
        <f t="shared" si="16"/>
        <v>32293.4</v>
      </c>
      <c r="W96" s="47">
        <f t="shared" si="17"/>
        <v>64586.8</v>
      </c>
      <c r="X96" s="48">
        <f t="shared" si="18"/>
        <v>30679.63</v>
      </c>
      <c r="Y96" s="49"/>
      <c r="Z96" s="50">
        <f t="shared" si="19"/>
        <v>31217.676666666666</v>
      </c>
      <c r="AA96" s="51">
        <f t="shared" si="20"/>
        <v>-1.7235320629775686</v>
      </c>
      <c r="AB96" s="50">
        <f t="shared" si="21"/>
        <v>61359.26</v>
      </c>
    </row>
    <row r="97" spans="1:28" ht="25.5" x14ac:dyDescent="0.25">
      <c r="A97" s="40">
        <v>88</v>
      </c>
      <c r="B97" s="41" t="s">
        <v>146</v>
      </c>
      <c r="C97" s="42" t="s">
        <v>23</v>
      </c>
      <c r="D97" s="44" t="s">
        <v>32</v>
      </c>
      <c r="E97" s="44">
        <v>17</v>
      </c>
      <c r="F97" s="45" t="s">
        <v>25</v>
      </c>
      <c r="G97" s="45" t="s">
        <v>26</v>
      </c>
      <c r="H97" s="46">
        <v>165.28</v>
      </c>
      <c r="I97" s="45" t="s">
        <v>27</v>
      </c>
      <c r="J97" s="47">
        <f t="shared" si="12"/>
        <v>165.28</v>
      </c>
      <c r="K97" s="47">
        <f t="shared" si="13"/>
        <v>2809.76</v>
      </c>
      <c r="L97" s="45" t="s">
        <v>28</v>
      </c>
      <c r="M97" s="45" t="s">
        <v>26</v>
      </c>
      <c r="N97" s="46">
        <v>165.5</v>
      </c>
      <c r="O97" s="45" t="s">
        <v>27</v>
      </c>
      <c r="P97" s="47">
        <f t="shared" si="14"/>
        <v>165.5</v>
      </c>
      <c r="Q97" s="47">
        <f t="shared" si="15"/>
        <v>2813.5</v>
      </c>
      <c r="R97" s="45" t="s">
        <v>29</v>
      </c>
      <c r="S97" s="45" t="s">
        <v>26</v>
      </c>
      <c r="T97" s="46">
        <v>165.29</v>
      </c>
      <c r="U97" s="45" t="s">
        <v>27</v>
      </c>
      <c r="V97" s="47">
        <f t="shared" si="16"/>
        <v>165.29</v>
      </c>
      <c r="W97" s="47">
        <f t="shared" si="17"/>
        <v>2809.93</v>
      </c>
      <c r="X97" s="48">
        <f t="shared" si="18"/>
        <v>165.28</v>
      </c>
      <c r="Y97" s="49"/>
      <c r="Z97" s="50">
        <f t="shared" si="19"/>
        <v>165.35666666666665</v>
      </c>
      <c r="AA97" s="51">
        <f t="shared" si="20"/>
        <v>-4.6364424375582303E-2</v>
      </c>
      <c r="AB97" s="50">
        <f t="shared" si="21"/>
        <v>2809.76</v>
      </c>
    </row>
    <row r="98" spans="1:28" ht="25.5" x14ac:dyDescent="0.25">
      <c r="A98" s="40">
        <v>89</v>
      </c>
      <c r="B98" s="41" t="s">
        <v>147</v>
      </c>
      <c r="C98" s="42" t="s">
        <v>23</v>
      </c>
      <c r="D98" s="44" t="s">
        <v>32</v>
      </c>
      <c r="E98" s="44">
        <v>17</v>
      </c>
      <c r="F98" s="45" t="s">
        <v>25</v>
      </c>
      <c r="G98" s="45" t="s">
        <v>26</v>
      </c>
      <c r="H98" s="46">
        <v>466.56</v>
      </c>
      <c r="I98" s="45" t="s">
        <v>27</v>
      </c>
      <c r="J98" s="47">
        <f t="shared" si="12"/>
        <v>466.56</v>
      </c>
      <c r="K98" s="47">
        <f t="shared" si="13"/>
        <v>7931.52</v>
      </c>
      <c r="L98" s="45" t="s">
        <v>28</v>
      </c>
      <c r="M98" s="45" t="s">
        <v>26</v>
      </c>
      <c r="N98" s="46">
        <v>486.58</v>
      </c>
      <c r="O98" s="45" t="s">
        <v>27</v>
      </c>
      <c r="P98" s="47">
        <f t="shared" si="14"/>
        <v>486.58</v>
      </c>
      <c r="Q98" s="47">
        <f t="shared" si="15"/>
        <v>8271.86</v>
      </c>
      <c r="R98" s="45" t="s">
        <v>29</v>
      </c>
      <c r="S98" s="45" t="s">
        <v>26</v>
      </c>
      <c r="T98" s="46">
        <v>466.57</v>
      </c>
      <c r="U98" s="45" t="s">
        <v>27</v>
      </c>
      <c r="V98" s="47">
        <f t="shared" si="16"/>
        <v>466.57</v>
      </c>
      <c r="W98" s="47">
        <f t="shared" si="17"/>
        <v>7931.69</v>
      </c>
      <c r="X98" s="48">
        <f t="shared" si="18"/>
        <v>466.56</v>
      </c>
      <c r="Y98" s="54"/>
      <c r="Z98" s="50">
        <f t="shared" si="19"/>
        <v>473.23666666666668</v>
      </c>
      <c r="AA98" s="51">
        <f t="shared" si="20"/>
        <v>-1.4108515119284988</v>
      </c>
      <c r="AB98" s="50">
        <f t="shared" si="21"/>
        <v>7931.52</v>
      </c>
    </row>
    <row r="99" spans="1:28" ht="25.5" x14ac:dyDescent="0.25">
      <c r="A99" s="59">
        <v>90</v>
      </c>
      <c r="B99" s="41" t="s">
        <v>148</v>
      </c>
      <c r="C99" s="42" t="s">
        <v>23</v>
      </c>
      <c r="D99" s="44" t="s">
        <v>32</v>
      </c>
      <c r="E99" s="44">
        <v>41</v>
      </c>
      <c r="F99" s="45" t="s">
        <v>25</v>
      </c>
      <c r="G99" s="45" t="s">
        <v>26</v>
      </c>
      <c r="H99" s="46">
        <v>486.58</v>
      </c>
      <c r="I99" s="45" t="s">
        <v>27</v>
      </c>
      <c r="J99" s="47">
        <f t="shared" si="12"/>
        <v>486.58</v>
      </c>
      <c r="K99" s="47">
        <f t="shared" si="13"/>
        <v>19949.78</v>
      </c>
      <c r="L99" s="45" t="s">
        <v>28</v>
      </c>
      <c r="M99" s="45" t="s">
        <v>26</v>
      </c>
      <c r="N99" s="46">
        <v>490</v>
      </c>
      <c r="O99" s="45" t="s">
        <v>27</v>
      </c>
      <c r="P99" s="47">
        <f t="shared" si="14"/>
        <v>490</v>
      </c>
      <c r="Q99" s="47">
        <f t="shared" si="15"/>
        <v>20090</v>
      </c>
      <c r="R99" s="45" t="s">
        <v>29</v>
      </c>
      <c r="S99" s="45" t="s">
        <v>26</v>
      </c>
      <c r="T99" s="46">
        <v>486.58</v>
      </c>
      <c r="U99" s="45" t="s">
        <v>27</v>
      </c>
      <c r="V99" s="47">
        <f t="shared" si="16"/>
        <v>486.58</v>
      </c>
      <c r="W99" s="47">
        <f t="shared" si="17"/>
        <v>19949.78</v>
      </c>
      <c r="X99" s="48">
        <f t="shared" si="18"/>
        <v>486.58</v>
      </c>
      <c r="Y99" s="49"/>
      <c r="Z99" s="50">
        <f t="shared" si="19"/>
        <v>487.71999999999997</v>
      </c>
      <c r="AA99" s="51">
        <f t="shared" si="20"/>
        <v>-0.23374067087672756</v>
      </c>
      <c r="AB99" s="50">
        <f t="shared" si="21"/>
        <v>19949.78</v>
      </c>
    </row>
    <row r="100" spans="1:28" ht="30" x14ac:dyDescent="0.25">
      <c r="A100" s="56">
        <v>91</v>
      </c>
      <c r="B100" s="41" t="s">
        <v>149</v>
      </c>
      <c r="C100" s="42" t="s">
        <v>23</v>
      </c>
      <c r="D100" s="44" t="s">
        <v>32</v>
      </c>
      <c r="E100" s="44">
        <v>21</v>
      </c>
      <c r="F100" s="45" t="s">
        <v>25</v>
      </c>
      <c r="G100" s="45" t="s">
        <v>26</v>
      </c>
      <c r="H100" s="46">
        <v>1570.24</v>
      </c>
      <c r="I100" s="45" t="s">
        <v>27</v>
      </c>
      <c r="J100" s="47">
        <f t="shared" si="12"/>
        <v>1570.24</v>
      </c>
      <c r="K100" s="47">
        <f t="shared" si="13"/>
        <v>32975.040000000001</v>
      </c>
      <c r="L100" s="45" t="s">
        <v>28</v>
      </c>
      <c r="M100" s="45" t="s">
        <v>26</v>
      </c>
      <c r="N100" s="46">
        <v>1570.24</v>
      </c>
      <c r="O100" s="45" t="s">
        <v>27</v>
      </c>
      <c r="P100" s="47">
        <f t="shared" si="14"/>
        <v>1570.24</v>
      </c>
      <c r="Q100" s="47">
        <f t="shared" si="15"/>
        <v>32975.040000000001</v>
      </c>
      <c r="R100" s="45" t="s">
        <v>29</v>
      </c>
      <c r="S100" s="45" t="s">
        <v>26</v>
      </c>
      <c r="T100" s="46">
        <v>1570.24</v>
      </c>
      <c r="U100" s="45" t="s">
        <v>27</v>
      </c>
      <c r="V100" s="47">
        <f t="shared" si="16"/>
        <v>1570.24</v>
      </c>
      <c r="W100" s="47">
        <f t="shared" si="17"/>
        <v>32975.040000000001</v>
      </c>
      <c r="X100" s="48">
        <f t="shared" si="18"/>
        <v>1570.24</v>
      </c>
      <c r="Y100" s="49" t="s">
        <v>150</v>
      </c>
      <c r="Z100" s="50">
        <f t="shared" si="19"/>
        <v>1570.24</v>
      </c>
      <c r="AA100" s="51">
        <f t="shared" si="20"/>
        <v>0</v>
      </c>
      <c r="AB100" s="50">
        <f t="shared" si="21"/>
        <v>32975.040000000001</v>
      </c>
    </row>
    <row r="101" spans="1:28" ht="25.5" x14ac:dyDescent="0.25">
      <c r="A101" s="56">
        <v>92</v>
      </c>
      <c r="B101" s="41" t="s">
        <v>151</v>
      </c>
      <c r="C101" s="42" t="s">
        <v>23</v>
      </c>
      <c r="D101" s="44" t="s">
        <v>32</v>
      </c>
      <c r="E101" s="44">
        <v>123</v>
      </c>
      <c r="F101" s="45" t="s">
        <v>25</v>
      </c>
      <c r="G101" s="45" t="s">
        <v>26</v>
      </c>
      <c r="H101" s="46">
        <v>83.04</v>
      </c>
      <c r="I101" s="45" t="s">
        <v>27</v>
      </c>
      <c r="J101" s="47">
        <f t="shared" si="12"/>
        <v>83.04</v>
      </c>
      <c r="K101" s="47">
        <f t="shared" si="13"/>
        <v>10213.92</v>
      </c>
      <c r="L101" s="45" t="s">
        <v>28</v>
      </c>
      <c r="M101" s="45" t="s">
        <v>26</v>
      </c>
      <c r="N101" s="46">
        <v>83.5</v>
      </c>
      <c r="O101" s="45" t="s">
        <v>27</v>
      </c>
      <c r="P101" s="47">
        <f t="shared" si="14"/>
        <v>83.5</v>
      </c>
      <c r="Q101" s="47">
        <f t="shared" si="15"/>
        <v>10270.5</v>
      </c>
      <c r="R101" s="45" t="s">
        <v>29</v>
      </c>
      <c r="S101" s="45" t="s">
        <v>26</v>
      </c>
      <c r="T101" s="46">
        <v>87.42</v>
      </c>
      <c r="U101" s="45" t="s">
        <v>27</v>
      </c>
      <c r="V101" s="47">
        <f t="shared" si="16"/>
        <v>87.42</v>
      </c>
      <c r="W101" s="47">
        <f t="shared" si="17"/>
        <v>10752.66</v>
      </c>
      <c r="X101" s="48">
        <f t="shared" si="18"/>
        <v>83.04</v>
      </c>
      <c r="Y101" s="54"/>
      <c r="Z101" s="50">
        <f t="shared" si="19"/>
        <v>84.65333333333335</v>
      </c>
      <c r="AA101" s="51">
        <f t="shared" si="20"/>
        <v>-1.9058119388880357</v>
      </c>
      <c r="AB101" s="50">
        <f t="shared" si="21"/>
        <v>10213.92</v>
      </c>
    </row>
    <row r="102" spans="1:28" ht="25.5" x14ac:dyDescent="0.25">
      <c r="A102" s="53">
        <v>93</v>
      </c>
      <c r="B102" s="41" t="s">
        <v>152</v>
      </c>
      <c r="C102" s="42" t="s">
        <v>47</v>
      </c>
      <c r="D102" s="44" t="s">
        <v>32</v>
      </c>
      <c r="E102" s="44">
        <v>37</v>
      </c>
      <c r="F102" s="45" t="s">
        <v>49</v>
      </c>
      <c r="G102" s="45" t="s">
        <v>26</v>
      </c>
      <c r="H102" s="46">
        <v>11.05</v>
      </c>
      <c r="I102" s="45" t="s">
        <v>27</v>
      </c>
      <c r="J102" s="47">
        <f t="shared" si="12"/>
        <v>11.05</v>
      </c>
      <c r="K102" s="47">
        <f t="shared" si="13"/>
        <v>408.85</v>
      </c>
      <c r="L102" s="45" t="s">
        <v>50</v>
      </c>
      <c r="M102" s="45" t="s">
        <v>26</v>
      </c>
      <c r="N102" s="46">
        <v>11.27</v>
      </c>
      <c r="O102" s="45" t="s">
        <v>27</v>
      </c>
      <c r="P102" s="47">
        <f t="shared" si="14"/>
        <v>11.27</v>
      </c>
      <c r="Q102" s="47">
        <f t="shared" si="15"/>
        <v>416.99</v>
      </c>
      <c r="R102" s="45" t="s">
        <v>51</v>
      </c>
      <c r="S102" s="45" t="s">
        <v>26</v>
      </c>
      <c r="T102" s="46">
        <f>15.86/1.22</f>
        <v>13</v>
      </c>
      <c r="U102" s="45" t="s">
        <v>27</v>
      </c>
      <c r="V102" s="47">
        <f t="shared" si="16"/>
        <v>13</v>
      </c>
      <c r="W102" s="47">
        <f t="shared" si="17"/>
        <v>481</v>
      </c>
      <c r="X102" s="48">
        <f t="shared" si="18"/>
        <v>11.05</v>
      </c>
      <c r="Y102" s="64"/>
      <c r="Z102" s="50">
        <f t="shared" si="19"/>
        <v>11.773333333333333</v>
      </c>
      <c r="AA102" s="51">
        <f t="shared" si="20"/>
        <v>-6.1438278595696545</v>
      </c>
      <c r="AB102" s="50">
        <f t="shared" si="21"/>
        <v>408.85</v>
      </c>
    </row>
    <row r="103" spans="1:28" ht="40.5" x14ac:dyDescent="0.25">
      <c r="A103" s="40">
        <v>94</v>
      </c>
      <c r="B103" s="41" t="s">
        <v>153</v>
      </c>
      <c r="C103" s="42" t="s">
        <v>47</v>
      </c>
      <c r="D103" s="44" t="s">
        <v>32</v>
      </c>
      <c r="E103" s="44">
        <v>243</v>
      </c>
      <c r="F103" s="45" t="s">
        <v>49</v>
      </c>
      <c r="G103" s="45" t="s">
        <v>26</v>
      </c>
      <c r="H103" s="46">
        <v>616.34</v>
      </c>
      <c r="I103" s="45" t="s">
        <v>27</v>
      </c>
      <c r="J103" s="47">
        <f t="shared" si="12"/>
        <v>616.34</v>
      </c>
      <c r="K103" s="47">
        <f t="shared" si="13"/>
        <v>149770.62</v>
      </c>
      <c r="L103" s="45" t="s">
        <v>50</v>
      </c>
      <c r="M103" s="45" t="s">
        <v>26</v>
      </c>
      <c r="N103" s="46">
        <v>618.73</v>
      </c>
      <c r="O103" s="45" t="s">
        <v>27</v>
      </c>
      <c r="P103" s="47">
        <f t="shared" si="14"/>
        <v>618.73</v>
      </c>
      <c r="Q103" s="47">
        <f t="shared" si="15"/>
        <v>150351.39000000001</v>
      </c>
      <c r="R103" s="45" t="s">
        <v>51</v>
      </c>
      <c r="S103" s="45" t="s">
        <v>26</v>
      </c>
      <c r="T103" s="46">
        <f>752.92/1.22</f>
        <v>617.14754098360652</v>
      </c>
      <c r="U103" s="45" t="s">
        <v>27</v>
      </c>
      <c r="V103" s="47">
        <f t="shared" si="16"/>
        <v>617.14754098360652</v>
      </c>
      <c r="W103" s="47">
        <f t="shared" si="17"/>
        <v>149966.85245901637</v>
      </c>
      <c r="X103" s="48">
        <f t="shared" si="18"/>
        <v>616.34</v>
      </c>
      <c r="Y103" s="49"/>
      <c r="Z103" s="50">
        <f t="shared" si="19"/>
        <v>617.40584699453564</v>
      </c>
      <c r="AA103" s="51">
        <f t="shared" si="20"/>
        <v>-0.17263312288409338</v>
      </c>
      <c r="AB103" s="50">
        <f t="shared" si="21"/>
        <v>149770.62</v>
      </c>
    </row>
    <row r="104" spans="1:28" ht="25.5" x14ac:dyDescent="0.25">
      <c r="A104" s="40">
        <v>95</v>
      </c>
      <c r="B104" s="41" t="s">
        <v>154</v>
      </c>
      <c r="C104" s="42" t="s">
        <v>47</v>
      </c>
      <c r="D104" s="44" t="s">
        <v>32</v>
      </c>
      <c r="E104" s="44">
        <v>32</v>
      </c>
      <c r="F104" s="45" t="s">
        <v>49</v>
      </c>
      <c r="G104" s="45" t="s">
        <v>26</v>
      </c>
      <c r="H104" s="46">
        <v>364.49</v>
      </c>
      <c r="I104" s="45" t="s">
        <v>27</v>
      </c>
      <c r="J104" s="47">
        <f t="shared" si="12"/>
        <v>364.49</v>
      </c>
      <c r="K104" s="47">
        <f t="shared" si="13"/>
        <v>11663.68</v>
      </c>
      <c r="L104" s="45" t="s">
        <v>50</v>
      </c>
      <c r="M104" s="45" t="s">
        <v>26</v>
      </c>
      <c r="N104" s="46">
        <v>369.96</v>
      </c>
      <c r="O104" s="45" t="s">
        <v>27</v>
      </c>
      <c r="P104" s="47">
        <f t="shared" si="14"/>
        <v>369.96</v>
      </c>
      <c r="Q104" s="47">
        <f t="shared" si="15"/>
        <v>11838.72</v>
      </c>
      <c r="R104" s="45" t="s">
        <v>51</v>
      </c>
      <c r="S104" s="45" t="s">
        <v>26</v>
      </c>
      <c r="T104" s="46">
        <f>461.29/1.22</f>
        <v>378.10655737704923</v>
      </c>
      <c r="U104" s="45" t="s">
        <v>27</v>
      </c>
      <c r="V104" s="47">
        <f t="shared" si="16"/>
        <v>378.10655737704923</v>
      </c>
      <c r="W104" s="47">
        <f t="shared" si="17"/>
        <v>12099.409836065575</v>
      </c>
      <c r="X104" s="48">
        <f t="shared" si="18"/>
        <v>364.49</v>
      </c>
      <c r="Y104" s="57"/>
      <c r="Z104" s="50">
        <f t="shared" si="19"/>
        <v>370.85218579234976</v>
      </c>
      <c r="AA104" s="51">
        <f t="shared" si="20"/>
        <v>-1.7155583912109194</v>
      </c>
      <c r="AB104" s="50">
        <f t="shared" si="21"/>
        <v>11663.68</v>
      </c>
    </row>
    <row r="105" spans="1:28" ht="30" x14ac:dyDescent="0.25">
      <c r="A105" s="59">
        <v>96</v>
      </c>
      <c r="B105" s="41" t="s">
        <v>155</v>
      </c>
      <c r="C105" s="42" t="s">
        <v>23</v>
      </c>
      <c r="D105" s="44" t="s">
        <v>32</v>
      </c>
      <c r="E105" s="44">
        <v>96</v>
      </c>
      <c r="F105" s="45" t="s">
        <v>25</v>
      </c>
      <c r="G105" s="45" t="s">
        <v>26</v>
      </c>
      <c r="H105" s="46">
        <v>89</v>
      </c>
      <c r="I105" s="45" t="s">
        <v>27</v>
      </c>
      <c r="J105" s="47">
        <f t="shared" si="12"/>
        <v>89</v>
      </c>
      <c r="K105" s="47">
        <f t="shared" si="13"/>
        <v>8544</v>
      </c>
      <c r="L105" s="45" t="s">
        <v>28</v>
      </c>
      <c r="M105" s="45" t="s">
        <v>26</v>
      </c>
      <c r="N105" s="46">
        <v>89</v>
      </c>
      <c r="O105" s="45" t="s">
        <v>27</v>
      </c>
      <c r="P105" s="47">
        <f t="shared" si="14"/>
        <v>89</v>
      </c>
      <c r="Q105" s="47">
        <f t="shared" si="15"/>
        <v>8544</v>
      </c>
      <c r="R105" s="45" t="s">
        <v>29</v>
      </c>
      <c r="S105" s="45" t="s">
        <v>26</v>
      </c>
      <c r="T105" s="46">
        <v>93.69</v>
      </c>
      <c r="U105" s="45" t="s">
        <v>27</v>
      </c>
      <c r="V105" s="47">
        <f t="shared" si="16"/>
        <v>93.69</v>
      </c>
      <c r="W105" s="47">
        <f t="shared" si="17"/>
        <v>8994.24</v>
      </c>
      <c r="X105" s="48">
        <f t="shared" si="18"/>
        <v>89</v>
      </c>
      <c r="Y105" s="49" t="s">
        <v>156</v>
      </c>
      <c r="Z105" s="50">
        <f t="shared" si="19"/>
        <v>90.563333333333333</v>
      </c>
      <c r="AA105" s="51">
        <f t="shared" si="20"/>
        <v>-1.726232102764186</v>
      </c>
      <c r="AB105" s="50">
        <f t="shared" si="21"/>
        <v>8544</v>
      </c>
    </row>
    <row r="106" spans="1:28" ht="25.5" x14ac:dyDescent="0.25">
      <c r="A106" s="40">
        <v>97</v>
      </c>
      <c r="B106" s="41" t="s">
        <v>157</v>
      </c>
      <c r="C106" s="42" t="s">
        <v>23</v>
      </c>
      <c r="D106" s="44" t="s">
        <v>32</v>
      </c>
      <c r="E106" s="44">
        <v>1840</v>
      </c>
      <c r="F106" s="45" t="s">
        <v>25</v>
      </c>
      <c r="G106" s="45" t="s">
        <v>26</v>
      </c>
      <c r="H106" s="46">
        <v>51.99</v>
      </c>
      <c r="I106" s="45" t="s">
        <v>27</v>
      </c>
      <c r="J106" s="47">
        <f t="shared" ref="J106:J137" si="22">H106</f>
        <v>51.99</v>
      </c>
      <c r="K106" s="47">
        <f t="shared" si="13"/>
        <v>95661.6</v>
      </c>
      <c r="L106" s="45" t="s">
        <v>28</v>
      </c>
      <c r="M106" s="45" t="s">
        <v>26</v>
      </c>
      <c r="N106" s="46">
        <v>52</v>
      </c>
      <c r="O106" s="45" t="s">
        <v>27</v>
      </c>
      <c r="P106" s="47">
        <f t="shared" ref="P106:P137" si="23">N106</f>
        <v>52</v>
      </c>
      <c r="Q106" s="47">
        <f t="shared" si="15"/>
        <v>95680</v>
      </c>
      <c r="R106" s="45" t="s">
        <v>29</v>
      </c>
      <c r="S106" s="45" t="s">
        <v>26</v>
      </c>
      <c r="T106" s="46">
        <v>54.73</v>
      </c>
      <c r="U106" s="45" t="s">
        <v>27</v>
      </c>
      <c r="V106" s="47">
        <f t="shared" si="16"/>
        <v>54.73</v>
      </c>
      <c r="W106" s="47">
        <f t="shared" si="17"/>
        <v>100703.2</v>
      </c>
      <c r="X106" s="48">
        <f t="shared" si="18"/>
        <v>51.99</v>
      </c>
      <c r="Y106" s="49"/>
      <c r="Z106" s="50">
        <f t="shared" si="19"/>
        <v>52.906666666666666</v>
      </c>
      <c r="AA106" s="51">
        <f t="shared" si="20"/>
        <v>-1.7326108870967687</v>
      </c>
      <c r="AB106" s="50">
        <f t="shared" si="21"/>
        <v>95661.6</v>
      </c>
    </row>
    <row r="107" spans="1:28" ht="25.5" x14ac:dyDescent="0.25">
      <c r="A107" s="40">
        <v>98</v>
      </c>
      <c r="B107" s="41" t="s">
        <v>158</v>
      </c>
      <c r="C107" s="42" t="s">
        <v>47</v>
      </c>
      <c r="D107" s="44" t="s">
        <v>32</v>
      </c>
      <c r="E107" s="44">
        <v>112</v>
      </c>
      <c r="F107" s="45" t="s">
        <v>49</v>
      </c>
      <c r="G107" s="45" t="s">
        <v>26</v>
      </c>
      <c r="H107" s="46">
        <v>8.6300000000000008</v>
      </c>
      <c r="I107" s="45" t="s">
        <v>27</v>
      </c>
      <c r="J107" s="47">
        <f t="shared" si="22"/>
        <v>8.6300000000000008</v>
      </c>
      <c r="K107" s="47">
        <f t="shared" si="13"/>
        <v>966.56000000000006</v>
      </c>
      <c r="L107" s="45" t="s">
        <v>50</v>
      </c>
      <c r="M107" s="45" t="s">
        <v>26</v>
      </c>
      <c r="N107" s="46">
        <v>8.7899999999999991</v>
      </c>
      <c r="O107" s="45" t="s">
        <v>27</v>
      </c>
      <c r="P107" s="47">
        <f t="shared" si="23"/>
        <v>8.7899999999999991</v>
      </c>
      <c r="Q107" s="47">
        <f t="shared" si="15"/>
        <v>984.4799999999999</v>
      </c>
      <c r="R107" s="45" t="s">
        <v>51</v>
      </c>
      <c r="S107" s="45" t="s">
        <v>26</v>
      </c>
      <c r="T107" s="46">
        <f>10.98/1.22</f>
        <v>9</v>
      </c>
      <c r="U107" s="45" t="s">
        <v>27</v>
      </c>
      <c r="V107" s="47">
        <f t="shared" si="16"/>
        <v>9</v>
      </c>
      <c r="W107" s="47">
        <f t="shared" si="17"/>
        <v>1008</v>
      </c>
      <c r="X107" s="48">
        <f t="shared" si="18"/>
        <v>8.6300000000000008</v>
      </c>
      <c r="Y107" s="57"/>
      <c r="Z107" s="50">
        <f t="shared" si="19"/>
        <v>8.8066666666666666</v>
      </c>
      <c r="AA107" s="51">
        <f t="shared" si="20"/>
        <v>-2.0060560181680387</v>
      </c>
      <c r="AB107" s="50">
        <f t="shared" si="21"/>
        <v>966.56000000000006</v>
      </c>
    </row>
    <row r="108" spans="1:28" ht="25.5" x14ac:dyDescent="0.25">
      <c r="A108" s="53">
        <v>99</v>
      </c>
      <c r="B108" s="41" t="s">
        <v>159</v>
      </c>
      <c r="C108" s="42" t="s">
        <v>47</v>
      </c>
      <c r="D108" s="44" t="s">
        <v>32</v>
      </c>
      <c r="E108" s="44">
        <v>2</v>
      </c>
      <c r="F108" s="45" t="s">
        <v>49</v>
      </c>
      <c r="G108" s="45" t="s">
        <v>26</v>
      </c>
      <c r="H108" s="46">
        <v>153.94999999999999</v>
      </c>
      <c r="I108" s="45" t="s">
        <v>27</v>
      </c>
      <c r="J108" s="47">
        <f t="shared" si="22"/>
        <v>153.94999999999999</v>
      </c>
      <c r="K108" s="47">
        <f t="shared" si="13"/>
        <v>307.89999999999998</v>
      </c>
      <c r="L108" s="45" t="s">
        <v>50</v>
      </c>
      <c r="M108" s="45" t="s">
        <v>26</v>
      </c>
      <c r="N108" s="46">
        <v>154.69</v>
      </c>
      <c r="O108" s="45" t="s">
        <v>27</v>
      </c>
      <c r="P108" s="47">
        <f t="shared" si="23"/>
        <v>154.69</v>
      </c>
      <c r="Q108" s="47">
        <f t="shared" si="15"/>
        <v>309.38</v>
      </c>
      <c r="R108" s="45" t="s">
        <v>51</v>
      </c>
      <c r="S108" s="45" t="s">
        <v>26</v>
      </c>
      <c r="T108" s="46">
        <f>189.1/1.22</f>
        <v>155</v>
      </c>
      <c r="U108" s="45" t="s">
        <v>27</v>
      </c>
      <c r="V108" s="47">
        <f t="shared" si="16"/>
        <v>155</v>
      </c>
      <c r="W108" s="47">
        <f t="shared" si="17"/>
        <v>310</v>
      </c>
      <c r="X108" s="48">
        <f t="shared" si="18"/>
        <v>153.94999999999999</v>
      </c>
      <c r="Y108" s="64"/>
      <c r="Z108" s="50">
        <f t="shared" si="19"/>
        <v>154.54666666666665</v>
      </c>
      <c r="AA108" s="51">
        <f t="shared" si="20"/>
        <v>-0.38607540333016743</v>
      </c>
      <c r="AB108" s="50">
        <f t="shared" si="21"/>
        <v>307.89999999999998</v>
      </c>
    </row>
    <row r="109" spans="1:28" ht="25.5" x14ac:dyDescent="0.25">
      <c r="A109" s="40">
        <v>100</v>
      </c>
      <c r="B109" s="41" t="s">
        <v>160</v>
      </c>
      <c r="C109" s="42" t="s">
        <v>42</v>
      </c>
      <c r="D109" s="44" t="s">
        <v>32</v>
      </c>
      <c r="E109" s="44">
        <v>26</v>
      </c>
      <c r="F109" s="45" t="s">
        <v>43</v>
      </c>
      <c r="G109" s="45" t="s">
        <v>26</v>
      </c>
      <c r="H109" s="46">
        <f>1233.16/1.22</f>
        <v>1010.7868852459018</v>
      </c>
      <c r="I109" s="45" t="s">
        <v>27</v>
      </c>
      <c r="J109" s="47">
        <f t="shared" si="22"/>
        <v>1010.7868852459018</v>
      </c>
      <c r="K109" s="47">
        <f t="shared" si="13"/>
        <v>26280.459016393444</v>
      </c>
      <c r="L109" s="45" t="s">
        <v>69</v>
      </c>
      <c r="M109" s="45" t="s">
        <v>26</v>
      </c>
      <c r="N109" s="46">
        <f>1397.17/1.22</f>
        <v>1145.2213114754099</v>
      </c>
      <c r="O109" s="45" t="s">
        <v>27</v>
      </c>
      <c r="P109" s="47">
        <f t="shared" si="23"/>
        <v>1145.2213114754099</v>
      </c>
      <c r="Q109" s="47">
        <f t="shared" si="15"/>
        <v>29775.75409836066</v>
      </c>
      <c r="R109" s="45" t="s">
        <v>45</v>
      </c>
      <c r="S109" s="45" t="s">
        <v>26</v>
      </c>
      <c r="T109" s="46">
        <f>1451.43/1.22</f>
        <v>1189.6967213114756</v>
      </c>
      <c r="U109" s="45" t="s">
        <v>27</v>
      </c>
      <c r="V109" s="47">
        <f t="shared" si="16"/>
        <v>1189.6967213114756</v>
      </c>
      <c r="W109" s="47">
        <f t="shared" si="17"/>
        <v>30932.114754098366</v>
      </c>
      <c r="X109" s="48">
        <f t="shared" si="18"/>
        <v>1010.7868852459018</v>
      </c>
      <c r="Y109" s="49"/>
      <c r="Z109" s="50">
        <f t="shared" si="19"/>
        <v>1115.2349726775958</v>
      </c>
      <c r="AA109" s="51">
        <f t="shared" si="20"/>
        <v>-9.3655677942848143</v>
      </c>
      <c r="AB109" s="50">
        <f t="shared" si="21"/>
        <v>26280.459016393444</v>
      </c>
    </row>
    <row r="110" spans="1:28" ht="40.5" x14ac:dyDescent="0.25">
      <c r="A110" s="40">
        <v>101</v>
      </c>
      <c r="B110" s="41" t="s">
        <v>161</v>
      </c>
      <c r="C110" s="42" t="s">
        <v>47</v>
      </c>
      <c r="D110" s="44" t="s">
        <v>24</v>
      </c>
      <c r="E110" s="44">
        <v>0</v>
      </c>
      <c r="F110" s="45" t="s">
        <v>49</v>
      </c>
      <c r="G110" s="45" t="s">
        <v>26</v>
      </c>
      <c r="H110" s="46">
        <v>147.69999999999999</v>
      </c>
      <c r="I110" s="45" t="s">
        <v>27</v>
      </c>
      <c r="J110" s="47">
        <f t="shared" si="22"/>
        <v>147.69999999999999</v>
      </c>
      <c r="K110" s="47">
        <f t="shared" si="13"/>
        <v>0</v>
      </c>
      <c r="L110" s="45" t="s">
        <v>50</v>
      </c>
      <c r="M110" s="45" t="s">
        <v>26</v>
      </c>
      <c r="N110" s="46">
        <v>148.66999999999999</v>
      </c>
      <c r="O110" s="45" t="s">
        <v>27</v>
      </c>
      <c r="P110" s="47">
        <f t="shared" si="23"/>
        <v>148.66999999999999</v>
      </c>
      <c r="Q110" s="47">
        <f t="shared" si="15"/>
        <v>0</v>
      </c>
      <c r="R110" s="45" t="s">
        <v>51</v>
      </c>
      <c r="S110" s="45" t="s">
        <v>26</v>
      </c>
      <c r="T110" s="46">
        <f>181.9/1.22</f>
        <v>149.09836065573771</v>
      </c>
      <c r="U110" s="45" t="s">
        <v>27</v>
      </c>
      <c r="V110" s="47">
        <f t="shared" si="16"/>
        <v>149.09836065573771</v>
      </c>
      <c r="W110" s="47">
        <f t="shared" si="17"/>
        <v>0</v>
      </c>
      <c r="X110" s="48">
        <f t="shared" si="18"/>
        <v>147.69999999999999</v>
      </c>
      <c r="Y110" s="57"/>
      <c r="Z110" s="50">
        <f t="shared" si="19"/>
        <v>148.48945355191256</v>
      </c>
      <c r="AA110" s="51">
        <f t="shared" si="20"/>
        <v>-0.53165631162929117</v>
      </c>
      <c r="AB110" s="50">
        <f t="shared" si="21"/>
        <v>0</v>
      </c>
    </row>
    <row r="111" spans="1:28" ht="25.5" x14ac:dyDescent="0.25">
      <c r="A111" s="53">
        <v>102</v>
      </c>
      <c r="B111" s="41" t="s">
        <v>162</v>
      </c>
      <c r="C111" s="42" t="s">
        <v>47</v>
      </c>
      <c r="D111" s="44" t="s">
        <v>32</v>
      </c>
      <c r="E111" s="44">
        <v>171</v>
      </c>
      <c r="F111" s="45" t="s">
        <v>49</v>
      </c>
      <c r="G111" s="45" t="s">
        <v>26</v>
      </c>
      <c r="H111" s="46">
        <v>49.05</v>
      </c>
      <c r="I111" s="45" t="s">
        <v>27</v>
      </c>
      <c r="J111" s="47">
        <f t="shared" si="22"/>
        <v>49.05</v>
      </c>
      <c r="K111" s="47">
        <f t="shared" si="13"/>
        <v>8387.5499999999993</v>
      </c>
      <c r="L111" s="45" t="s">
        <v>50</v>
      </c>
      <c r="M111" s="45" t="s">
        <v>26</v>
      </c>
      <c r="N111" s="46">
        <v>49.4</v>
      </c>
      <c r="O111" s="45" t="s">
        <v>27</v>
      </c>
      <c r="P111" s="47">
        <f t="shared" si="23"/>
        <v>49.4</v>
      </c>
      <c r="Q111" s="47">
        <f t="shared" si="15"/>
        <v>8447.4</v>
      </c>
      <c r="R111" s="45" t="s">
        <v>51</v>
      </c>
      <c r="S111" s="45" t="s">
        <v>26</v>
      </c>
      <c r="T111" s="46">
        <f>61/1.22</f>
        <v>50</v>
      </c>
      <c r="U111" s="45" t="s">
        <v>27</v>
      </c>
      <c r="V111" s="47">
        <f t="shared" si="16"/>
        <v>50</v>
      </c>
      <c r="W111" s="47">
        <f t="shared" si="17"/>
        <v>8550</v>
      </c>
      <c r="X111" s="48">
        <f t="shared" si="18"/>
        <v>49.05</v>
      </c>
      <c r="Y111" s="49"/>
      <c r="Z111" s="50">
        <f t="shared" si="19"/>
        <v>49.483333333333327</v>
      </c>
      <c r="AA111" s="51">
        <f t="shared" si="20"/>
        <v>-0.8757157292017439</v>
      </c>
      <c r="AB111" s="50">
        <f t="shared" si="21"/>
        <v>8387.5499999999993</v>
      </c>
    </row>
    <row r="112" spans="1:28" ht="25.5" x14ac:dyDescent="0.25">
      <c r="A112" s="40">
        <v>103</v>
      </c>
      <c r="B112" s="41" t="s">
        <v>163</v>
      </c>
      <c r="C112" s="42" t="s">
        <v>47</v>
      </c>
      <c r="D112" s="44" t="s">
        <v>24</v>
      </c>
      <c r="E112" s="44">
        <v>0</v>
      </c>
      <c r="F112" s="45" t="s">
        <v>49</v>
      </c>
      <c r="G112" s="45" t="s">
        <v>26</v>
      </c>
      <c r="H112" s="46">
        <v>92.48</v>
      </c>
      <c r="I112" s="45" t="s">
        <v>27</v>
      </c>
      <c r="J112" s="47">
        <f t="shared" si="22"/>
        <v>92.48</v>
      </c>
      <c r="K112" s="47">
        <f t="shared" si="13"/>
        <v>0</v>
      </c>
      <c r="L112" s="45" t="s">
        <v>50</v>
      </c>
      <c r="M112" s="45" t="s">
        <v>26</v>
      </c>
      <c r="N112" s="46">
        <v>93.57</v>
      </c>
      <c r="O112" s="45" t="s">
        <v>27</v>
      </c>
      <c r="P112" s="47">
        <f t="shared" si="23"/>
        <v>93.57</v>
      </c>
      <c r="Q112" s="47">
        <f t="shared" si="15"/>
        <v>0</v>
      </c>
      <c r="R112" s="45" t="s">
        <v>51</v>
      </c>
      <c r="S112" s="45" t="s">
        <v>26</v>
      </c>
      <c r="T112" s="46">
        <f>115.9/1.22</f>
        <v>95</v>
      </c>
      <c r="U112" s="45" t="s">
        <v>27</v>
      </c>
      <c r="V112" s="47">
        <f t="shared" si="16"/>
        <v>95</v>
      </c>
      <c r="W112" s="47">
        <f t="shared" si="17"/>
        <v>0</v>
      </c>
      <c r="X112" s="48">
        <f t="shared" si="18"/>
        <v>92.48</v>
      </c>
      <c r="Y112" s="58"/>
      <c r="Z112" s="50">
        <f t="shared" si="19"/>
        <v>93.683333333333337</v>
      </c>
      <c r="AA112" s="51">
        <f t="shared" si="20"/>
        <v>-1.2844689557018398</v>
      </c>
      <c r="AB112" s="50">
        <f t="shared" si="21"/>
        <v>0</v>
      </c>
    </row>
    <row r="113" spans="1:28" ht="25.5" x14ac:dyDescent="0.25">
      <c r="A113" s="40">
        <v>104</v>
      </c>
      <c r="B113" s="41" t="s">
        <v>164</v>
      </c>
      <c r="C113" s="42" t="s">
        <v>47</v>
      </c>
      <c r="D113" s="44" t="s">
        <v>32</v>
      </c>
      <c r="E113" s="44">
        <v>37</v>
      </c>
      <c r="F113" s="45" t="s">
        <v>49</v>
      </c>
      <c r="G113" s="45" t="s">
        <v>26</v>
      </c>
      <c r="H113" s="46">
        <v>229.5</v>
      </c>
      <c r="I113" s="45" t="s">
        <v>27</v>
      </c>
      <c r="J113" s="47">
        <f t="shared" si="22"/>
        <v>229.5</v>
      </c>
      <c r="K113" s="47">
        <f t="shared" si="13"/>
        <v>8491.5</v>
      </c>
      <c r="L113" s="45" t="s">
        <v>50</v>
      </c>
      <c r="M113" s="45" t="s">
        <v>26</v>
      </c>
      <c r="N113" s="46">
        <v>231.71</v>
      </c>
      <c r="O113" s="45" t="s">
        <v>27</v>
      </c>
      <c r="P113" s="47">
        <f t="shared" si="23"/>
        <v>231.71</v>
      </c>
      <c r="Q113" s="47">
        <f t="shared" si="15"/>
        <v>8573.27</v>
      </c>
      <c r="R113" s="45" t="s">
        <v>51</v>
      </c>
      <c r="S113" s="45" t="s">
        <v>26</v>
      </c>
      <c r="T113" s="46">
        <f>291.58/1.22</f>
        <v>239</v>
      </c>
      <c r="U113" s="45" t="s">
        <v>27</v>
      </c>
      <c r="V113" s="47">
        <f t="shared" si="16"/>
        <v>239</v>
      </c>
      <c r="W113" s="47">
        <f t="shared" si="17"/>
        <v>8843</v>
      </c>
      <c r="X113" s="48">
        <f t="shared" si="18"/>
        <v>229.5</v>
      </c>
      <c r="Y113" s="57"/>
      <c r="Z113" s="50">
        <f t="shared" si="19"/>
        <v>233.40333333333334</v>
      </c>
      <c r="AA113" s="51">
        <f t="shared" si="20"/>
        <v>-1.6723554362262831</v>
      </c>
      <c r="AB113" s="50">
        <f t="shared" si="21"/>
        <v>8491.5</v>
      </c>
    </row>
    <row r="114" spans="1:28" ht="27" x14ac:dyDescent="0.25">
      <c r="A114" s="53">
        <v>105</v>
      </c>
      <c r="B114" s="41" t="s">
        <v>165</v>
      </c>
      <c r="C114" s="42" t="s">
        <v>166</v>
      </c>
      <c r="D114" s="44" t="s">
        <v>32</v>
      </c>
      <c r="E114" s="44">
        <v>37</v>
      </c>
      <c r="F114" s="45" t="s">
        <v>167</v>
      </c>
      <c r="G114" s="45" t="s">
        <v>26</v>
      </c>
      <c r="H114" s="46">
        <f>14596.45/1.22</f>
        <v>11964.303278688525</v>
      </c>
      <c r="I114" s="45" t="s">
        <v>27</v>
      </c>
      <c r="J114" s="47">
        <f t="shared" si="22"/>
        <v>11964.303278688525</v>
      </c>
      <c r="K114" s="47">
        <f t="shared" si="13"/>
        <v>442679.22131147544</v>
      </c>
      <c r="L114" s="45" t="s">
        <v>168</v>
      </c>
      <c r="M114" s="45" t="s">
        <v>26</v>
      </c>
      <c r="N114" s="46">
        <f>15326.27/1.22</f>
        <v>12562.516393442624</v>
      </c>
      <c r="O114" s="45" t="s">
        <v>27</v>
      </c>
      <c r="P114" s="47">
        <f t="shared" si="23"/>
        <v>12562.516393442624</v>
      </c>
      <c r="Q114" s="47">
        <f t="shared" si="15"/>
        <v>464813.10655737709</v>
      </c>
      <c r="R114" s="45" t="s">
        <v>169</v>
      </c>
      <c r="S114" s="45" t="s">
        <v>26</v>
      </c>
      <c r="T114" s="46">
        <f>15618.2/1.22</f>
        <v>12801.803278688525</v>
      </c>
      <c r="U114" s="45" t="s">
        <v>27</v>
      </c>
      <c r="V114" s="47">
        <f t="shared" si="16"/>
        <v>12801.803278688525</v>
      </c>
      <c r="W114" s="47">
        <f t="shared" si="17"/>
        <v>473666.72131147544</v>
      </c>
      <c r="X114" s="48">
        <f t="shared" si="18"/>
        <v>11964.303278688525</v>
      </c>
      <c r="Y114" s="49"/>
      <c r="Z114" s="50">
        <f t="shared" si="19"/>
        <v>12442.874316939889</v>
      </c>
      <c r="AA114" s="51">
        <f t="shared" si="20"/>
        <v>-3.8461454006638292</v>
      </c>
      <c r="AB114" s="50">
        <f t="shared" si="21"/>
        <v>442679.22131147544</v>
      </c>
    </row>
    <row r="115" spans="1:28" ht="25.5" x14ac:dyDescent="0.25">
      <c r="A115" s="40">
        <v>106</v>
      </c>
      <c r="B115" s="41" t="s">
        <v>170</v>
      </c>
      <c r="C115" s="42" t="s">
        <v>42</v>
      </c>
      <c r="D115" s="44" t="s">
        <v>32</v>
      </c>
      <c r="E115" s="44">
        <v>9</v>
      </c>
      <c r="F115" s="45" t="s">
        <v>43</v>
      </c>
      <c r="G115" s="45" t="s">
        <v>26</v>
      </c>
      <c r="H115" s="46">
        <f>2219.85/1.22</f>
        <v>1819.5491803278687</v>
      </c>
      <c r="I115" s="45" t="s">
        <v>27</v>
      </c>
      <c r="J115" s="47">
        <f t="shared" si="22"/>
        <v>1819.5491803278687</v>
      </c>
      <c r="K115" s="47">
        <f t="shared" si="13"/>
        <v>16375.942622950819</v>
      </c>
      <c r="L115" s="45" t="s">
        <v>69</v>
      </c>
      <c r="M115" s="45" t="s">
        <v>26</v>
      </c>
      <c r="N115" s="46">
        <f>2515.09/1.22</f>
        <v>2061.5491803278692</v>
      </c>
      <c r="O115" s="45" t="s">
        <v>27</v>
      </c>
      <c r="P115" s="47">
        <f t="shared" si="23"/>
        <v>2061.5491803278692</v>
      </c>
      <c r="Q115" s="47">
        <f t="shared" si="15"/>
        <v>18553.942622950824</v>
      </c>
      <c r="R115" s="45" t="s">
        <v>45</v>
      </c>
      <c r="S115" s="45" t="s">
        <v>26</v>
      </c>
      <c r="T115" s="46">
        <f>2612.76/1.22</f>
        <v>2141.6065573770493</v>
      </c>
      <c r="U115" s="45" t="s">
        <v>27</v>
      </c>
      <c r="V115" s="47">
        <f t="shared" si="16"/>
        <v>2141.6065573770493</v>
      </c>
      <c r="W115" s="47">
        <f t="shared" si="17"/>
        <v>19274.459016393444</v>
      </c>
      <c r="X115" s="48">
        <f t="shared" si="18"/>
        <v>1819.5491803278687</v>
      </c>
      <c r="Y115" s="49"/>
      <c r="Z115" s="50">
        <f t="shared" si="19"/>
        <v>2007.5683060109288</v>
      </c>
      <c r="AA115" s="51">
        <f t="shared" si="20"/>
        <v>-9.3655157396191981</v>
      </c>
      <c r="AB115" s="50">
        <f t="shared" si="21"/>
        <v>16375.942622950819</v>
      </c>
    </row>
    <row r="116" spans="1:28" ht="25.5" x14ac:dyDescent="0.25">
      <c r="A116" s="40">
        <v>107</v>
      </c>
      <c r="B116" s="41" t="s">
        <v>171</v>
      </c>
      <c r="C116" s="42" t="s">
        <v>42</v>
      </c>
      <c r="D116" s="44" t="s">
        <v>32</v>
      </c>
      <c r="E116" s="44">
        <v>9</v>
      </c>
      <c r="F116" s="45" t="s">
        <v>43</v>
      </c>
      <c r="G116" s="45" t="s">
        <v>26</v>
      </c>
      <c r="H116" s="46">
        <f>2280.43/1.22</f>
        <v>1869.2049180327867</v>
      </c>
      <c r="I116" s="45" t="s">
        <v>27</v>
      </c>
      <c r="J116" s="47">
        <f t="shared" si="22"/>
        <v>1869.2049180327867</v>
      </c>
      <c r="K116" s="47">
        <f t="shared" si="13"/>
        <v>16822.844262295082</v>
      </c>
      <c r="L116" s="45" t="s">
        <v>69</v>
      </c>
      <c r="M116" s="45" t="s">
        <v>26</v>
      </c>
      <c r="N116" s="46">
        <f>2583.73/1.22</f>
        <v>2117.811475409836</v>
      </c>
      <c r="O116" s="45" t="s">
        <v>27</v>
      </c>
      <c r="P116" s="47">
        <f t="shared" si="23"/>
        <v>2117.811475409836</v>
      </c>
      <c r="Q116" s="47">
        <f t="shared" si="15"/>
        <v>19060.303278688523</v>
      </c>
      <c r="R116" s="45" t="s">
        <v>45</v>
      </c>
      <c r="S116" s="45" t="s">
        <v>26</v>
      </c>
      <c r="T116" s="46">
        <f>2684.07/1.22</f>
        <v>2200.0573770491806</v>
      </c>
      <c r="U116" s="45" t="s">
        <v>27</v>
      </c>
      <c r="V116" s="47">
        <f t="shared" si="16"/>
        <v>2200.0573770491806</v>
      </c>
      <c r="W116" s="47">
        <f t="shared" si="17"/>
        <v>19800.516393442624</v>
      </c>
      <c r="X116" s="48">
        <f t="shared" si="18"/>
        <v>1869.2049180327867</v>
      </c>
      <c r="Y116" s="57"/>
      <c r="Z116" s="50">
        <f t="shared" si="19"/>
        <v>2062.3579234972676</v>
      </c>
      <c r="AA116" s="51">
        <f t="shared" si="20"/>
        <v>-9.3656393618106506</v>
      </c>
      <c r="AB116" s="50">
        <f t="shared" si="21"/>
        <v>16822.844262295082</v>
      </c>
    </row>
    <row r="117" spans="1:28" ht="25.5" x14ac:dyDescent="0.25">
      <c r="A117" s="53">
        <v>108</v>
      </c>
      <c r="B117" s="41" t="s">
        <v>172</v>
      </c>
      <c r="C117" s="42" t="s">
        <v>42</v>
      </c>
      <c r="D117" s="44" t="s">
        <v>32</v>
      </c>
      <c r="E117" s="44">
        <v>6</v>
      </c>
      <c r="F117" s="45" t="s">
        <v>43</v>
      </c>
      <c r="G117" s="45" t="s">
        <v>26</v>
      </c>
      <c r="H117" s="46">
        <f>1459.35/1.22</f>
        <v>1196.188524590164</v>
      </c>
      <c r="I117" s="45" t="s">
        <v>27</v>
      </c>
      <c r="J117" s="47">
        <f t="shared" si="22"/>
        <v>1196.188524590164</v>
      </c>
      <c r="K117" s="47">
        <f t="shared" si="13"/>
        <v>7177.1311475409839</v>
      </c>
      <c r="L117" s="45" t="s">
        <v>69</v>
      </c>
      <c r="M117" s="45" t="s">
        <v>26</v>
      </c>
      <c r="N117" s="46">
        <f>1653.44/1.22</f>
        <v>1355.2786885245903</v>
      </c>
      <c r="O117" s="45" t="s">
        <v>27</v>
      </c>
      <c r="P117" s="47">
        <f t="shared" si="23"/>
        <v>1355.2786885245903</v>
      </c>
      <c r="Q117" s="47">
        <f t="shared" si="15"/>
        <v>8131.6721311475412</v>
      </c>
      <c r="R117" s="45" t="s">
        <v>45</v>
      </c>
      <c r="S117" s="45" t="s">
        <v>26</v>
      </c>
      <c r="T117" s="46">
        <f>1717.65/1.22</f>
        <v>1407.9098360655739</v>
      </c>
      <c r="U117" s="45" t="s">
        <v>27</v>
      </c>
      <c r="V117" s="47">
        <f t="shared" si="16"/>
        <v>1407.9098360655739</v>
      </c>
      <c r="W117" s="47">
        <f t="shared" si="17"/>
        <v>8447.4590163934445</v>
      </c>
      <c r="X117" s="48">
        <f t="shared" si="18"/>
        <v>1196.188524590164</v>
      </c>
      <c r="Y117" s="49"/>
      <c r="Z117" s="50">
        <f t="shared" si="19"/>
        <v>1319.7923497267761</v>
      </c>
      <c r="AA117" s="51">
        <f t="shared" si="20"/>
        <v>-9.3653994253111534</v>
      </c>
      <c r="AB117" s="50">
        <f t="shared" si="21"/>
        <v>7177.1311475409839</v>
      </c>
    </row>
    <row r="118" spans="1:28" ht="27" x14ac:dyDescent="0.25">
      <c r="A118" s="40">
        <v>109</v>
      </c>
      <c r="B118" s="41" t="s">
        <v>173</v>
      </c>
      <c r="C118" s="42" t="s">
        <v>116</v>
      </c>
      <c r="D118" s="44" t="s">
        <v>130</v>
      </c>
      <c r="E118" s="44">
        <v>6</v>
      </c>
      <c r="F118" s="45" t="s">
        <v>174</v>
      </c>
      <c r="G118" s="45" t="s">
        <v>93</v>
      </c>
      <c r="H118" s="46">
        <f>3700/1.22</f>
        <v>3032.7868852459019</v>
      </c>
      <c r="I118" s="45" t="s">
        <v>27</v>
      </c>
      <c r="J118" s="47">
        <f t="shared" si="22"/>
        <v>3032.7868852459019</v>
      </c>
      <c r="K118" s="47">
        <f t="shared" si="13"/>
        <v>18196.721311475412</v>
      </c>
      <c r="L118" s="45" t="s">
        <v>175</v>
      </c>
      <c r="M118" s="45" t="s">
        <v>93</v>
      </c>
      <c r="N118" s="46">
        <f>3700/1.22</f>
        <v>3032.7868852459019</v>
      </c>
      <c r="O118" s="45" t="s">
        <v>27</v>
      </c>
      <c r="P118" s="47">
        <f t="shared" si="23"/>
        <v>3032.7868852459019</v>
      </c>
      <c r="Q118" s="47">
        <f t="shared" si="15"/>
        <v>18196.721311475412</v>
      </c>
      <c r="R118" s="45" t="s">
        <v>176</v>
      </c>
      <c r="S118" s="45" t="s">
        <v>93</v>
      </c>
      <c r="T118" s="46">
        <f>3700/1.22</f>
        <v>3032.7868852459019</v>
      </c>
      <c r="U118" s="45" t="s">
        <v>27</v>
      </c>
      <c r="V118" s="47">
        <f t="shared" si="16"/>
        <v>3032.7868852459019</v>
      </c>
      <c r="W118" s="47">
        <f t="shared" si="17"/>
        <v>18196.721311475412</v>
      </c>
      <c r="X118" s="48">
        <f t="shared" si="18"/>
        <v>3032.7868852459019</v>
      </c>
      <c r="Y118" s="49"/>
      <c r="Z118" s="50">
        <f t="shared" si="19"/>
        <v>3032.7868852459019</v>
      </c>
      <c r="AA118" s="51">
        <f t="shared" si="20"/>
        <v>0</v>
      </c>
      <c r="AB118" s="50">
        <f t="shared" si="21"/>
        <v>18196.721311475412</v>
      </c>
    </row>
    <row r="119" spans="1:28" ht="27" x14ac:dyDescent="0.25">
      <c r="A119" s="40">
        <v>110</v>
      </c>
      <c r="B119" s="41" t="s">
        <v>177</v>
      </c>
      <c r="C119" s="42" t="s">
        <v>47</v>
      </c>
      <c r="D119" s="44" t="s">
        <v>24</v>
      </c>
      <c r="E119" s="44">
        <v>3088</v>
      </c>
      <c r="F119" s="45" t="s">
        <v>49</v>
      </c>
      <c r="G119" s="45" t="s">
        <v>26</v>
      </c>
      <c r="H119" s="46">
        <v>238.35</v>
      </c>
      <c r="I119" s="45" t="s">
        <v>27</v>
      </c>
      <c r="J119" s="47">
        <f t="shared" si="22"/>
        <v>238.35</v>
      </c>
      <c r="K119" s="47">
        <f t="shared" si="13"/>
        <v>736024.79999999993</v>
      </c>
      <c r="L119" s="45" t="s">
        <v>50</v>
      </c>
      <c r="M119" s="45" t="s">
        <v>26</v>
      </c>
      <c r="N119" s="46">
        <v>240.97</v>
      </c>
      <c r="O119" s="45" t="s">
        <v>27</v>
      </c>
      <c r="P119" s="47">
        <f t="shared" si="23"/>
        <v>240.97</v>
      </c>
      <c r="Q119" s="47">
        <f t="shared" si="15"/>
        <v>744115.36</v>
      </c>
      <c r="R119" s="45" t="s">
        <v>51</v>
      </c>
      <c r="S119" s="45" t="s">
        <v>26</v>
      </c>
      <c r="T119" s="46">
        <f>295.23/1.22</f>
        <v>241.99180327868854</v>
      </c>
      <c r="U119" s="45" t="s">
        <v>27</v>
      </c>
      <c r="V119" s="47">
        <f t="shared" si="16"/>
        <v>241.99180327868854</v>
      </c>
      <c r="W119" s="47">
        <f t="shared" si="17"/>
        <v>747270.68852459022</v>
      </c>
      <c r="X119" s="48">
        <f t="shared" si="18"/>
        <v>238.35</v>
      </c>
      <c r="Y119" s="57"/>
      <c r="Z119" s="50">
        <f t="shared" si="19"/>
        <v>240.43726775956284</v>
      </c>
      <c r="AA119" s="51">
        <f t="shared" si="20"/>
        <v>-0.86811324176670723</v>
      </c>
      <c r="AB119" s="50">
        <f t="shared" si="21"/>
        <v>736024.79999999993</v>
      </c>
    </row>
    <row r="120" spans="1:28" ht="27" x14ac:dyDescent="0.25">
      <c r="A120" s="53">
        <v>111</v>
      </c>
      <c r="B120" s="41" t="s">
        <v>178</v>
      </c>
      <c r="C120" s="42" t="s">
        <v>47</v>
      </c>
      <c r="D120" s="44" t="s">
        <v>24</v>
      </c>
      <c r="E120" s="44">
        <v>1290.3</v>
      </c>
      <c r="F120" s="45" t="s">
        <v>49</v>
      </c>
      <c r="G120" s="45" t="s">
        <v>26</v>
      </c>
      <c r="H120" s="46">
        <v>347.4</v>
      </c>
      <c r="I120" s="45" t="s">
        <v>27</v>
      </c>
      <c r="J120" s="47">
        <f t="shared" si="22"/>
        <v>347.4</v>
      </c>
      <c r="K120" s="47">
        <f t="shared" si="13"/>
        <v>448250.22</v>
      </c>
      <c r="L120" s="45" t="s">
        <v>50</v>
      </c>
      <c r="M120" s="45" t="s">
        <v>26</v>
      </c>
      <c r="N120" s="46">
        <v>348.2</v>
      </c>
      <c r="O120" s="45" t="s">
        <v>27</v>
      </c>
      <c r="P120" s="47">
        <f t="shared" si="23"/>
        <v>348.2</v>
      </c>
      <c r="Q120" s="47">
        <f t="shared" si="15"/>
        <v>449282.45999999996</v>
      </c>
      <c r="R120" s="45" t="s">
        <v>51</v>
      </c>
      <c r="S120" s="45" t="s">
        <v>26</v>
      </c>
      <c r="T120" s="46">
        <f>427/1.22</f>
        <v>350</v>
      </c>
      <c r="U120" s="45" t="s">
        <v>27</v>
      </c>
      <c r="V120" s="47">
        <f t="shared" si="16"/>
        <v>350</v>
      </c>
      <c r="W120" s="47">
        <f t="shared" si="17"/>
        <v>451605</v>
      </c>
      <c r="X120" s="48">
        <f t="shared" si="18"/>
        <v>347.4</v>
      </c>
      <c r="Y120" s="49"/>
      <c r="Z120" s="50">
        <f t="shared" si="19"/>
        <v>348.5333333333333</v>
      </c>
      <c r="AA120" s="51">
        <f t="shared" si="20"/>
        <v>-0.32517214996173038</v>
      </c>
      <c r="AB120" s="50">
        <f t="shared" si="21"/>
        <v>448250.22</v>
      </c>
    </row>
    <row r="121" spans="1:28" ht="25.5" x14ac:dyDescent="0.25">
      <c r="A121" s="40">
        <v>112</v>
      </c>
      <c r="B121" s="41" t="s">
        <v>179</v>
      </c>
      <c r="C121" s="42" t="s">
        <v>47</v>
      </c>
      <c r="D121" s="44" t="s">
        <v>130</v>
      </c>
      <c r="E121" s="44">
        <v>45</v>
      </c>
      <c r="F121" s="45" t="s">
        <v>49</v>
      </c>
      <c r="G121" s="45" t="s">
        <v>26</v>
      </c>
      <c r="H121" s="46">
        <v>5398.02</v>
      </c>
      <c r="I121" s="45" t="s">
        <v>27</v>
      </c>
      <c r="J121" s="47">
        <f t="shared" si="22"/>
        <v>5398.02</v>
      </c>
      <c r="K121" s="47">
        <f t="shared" si="13"/>
        <v>242910.90000000002</v>
      </c>
      <c r="L121" s="45" t="s">
        <v>50</v>
      </c>
      <c r="M121" s="45" t="s">
        <v>26</v>
      </c>
      <c r="N121" s="46">
        <v>5460.21</v>
      </c>
      <c r="O121" s="45" t="s">
        <v>27</v>
      </c>
      <c r="P121" s="47">
        <f t="shared" si="23"/>
        <v>5460.21</v>
      </c>
      <c r="Q121" s="47">
        <f t="shared" si="15"/>
        <v>245709.45</v>
      </c>
      <c r="R121" s="45" t="s">
        <v>51</v>
      </c>
      <c r="S121" s="45" t="s">
        <v>26</v>
      </c>
      <c r="T121" s="46">
        <f>6588/1.22</f>
        <v>5400</v>
      </c>
      <c r="U121" s="45" t="s">
        <v>27</v>
      </c>
      <c r="V121" s="47">
        <f t="shared" si="16"/>
        <v>5400</v>
      </c>
      <c r="W121" s="47">
        <f t="shared" si="17"/>
        <v>243000</v>
      </c>
      <c r="X121" s="48">
        <f t="shared" si="18"/>
        <v>5398.02</v>
      </c>
      <c r="Y121" s="49"/>
      <c r="Z121" s="50">
        <f t="shared" si="19"/>
        <v>5419.41</v>
      </c>
      <c r="AA121" s="51">
        <f t="shared" si="20"/>
        <v>-0.39469241116653109</v>
      </c>
      <c r="AB121" s="50">
        <f t="shared" si="21"/>
        <v>242910.90000000002</v>
      </c>
    </row>
    <row r="122" spans="1:28" ht="25.5" x14ac:dyDescent="0.25">
      <c r="A122" s="40">
        <v>113</v>
      </c>
      <c r="B122" s="41" t="s">
        <v>180</v>
      </c>
      <c r="C122" s="42" t="s">
        <v>47</v>
      </c>
      <c r="D122" s="44" t="s">
        <v>32</v>
      </c>
      <c r="E122" s="44">
        <v>62</v>
      </c>
      <c r="F122" s="45" t="s">
        <v>49</v>
      </c>
      <c r="G122" s="45" t="s">
        <v>26</v>
      </c>
      <c r="H122" s="46">
        <v>389.39</v>
      </c>
      <c r="I122" s="45" t="s">
        <v>27</v>
      </c>
      <c r="J122" s="47">
        <f t="shared" si="22"/>
        <v>389.39</v>
      </c>
      <c r="K122" s="47">
        <f t="shared" si="13"/>
        <v>24142.18</v>
      </c>
      <c r="L122" s="45" t="s">
        <v>50</v>
      </c>
      <c r="M122" s="45" t="s">
        <v>26</v>
      </c>
      <c r="N122" s="46">
        <v>391.06</v>
      </c>
      <c r="O122" s="45" t="s">
        <v>27</v>
      </c>
      <c r="P122" s="47">
        <f t="shared" si="23"/>
        <v>391.06</v>
      </c>
      <c r="Q122" s="47">
        <f t="shared" si="15"/>
        <v>24245.72</v>
      </c>
      <c r="R122" s="45" t="s">
        <v>51</v>
      </c>
      <c r="S122" s="45" t="s">
        <v>26</v>
      </c>
      <c r="T122" s="46">
        <f>488/1.22</f>
        <v>400</v>
      </c>
      <c r="U122" s="45" t="s">
        <v>27</v>
      </c>
      <c r="V122" s="47">
        <f t="shared" si="16"/>
        <v>400</v>
      </c>
      <c r="W122" s="47">
        <f t="shared" si="17"/>
        <v>24800</v>
      </c>
      <c r="X122" s="48">
        <f t="shared" si="18"/>
        <v>389.39</v>
      </c>
      <c r="Y122" s="57"/>
      <c r="Z122" s="50">
        <f t="shared" si="19"/>
        <v>393.48333333333335</v>
      </c>
      <c r="AA122" s="51">
        <f t="shared" si="20"/>
        <v>-1.0402812486763509</v>
      </c>
      <c r="AB122" s="50">
        <f t="shared" si="21"/>
        <v>24142.18</v>
      </c>
    </row>
    <row r="123" spans="1:28" ht="40.5" x14ac:dyDescent="0.25">
      <c r="A123" s="53">
        <v>114</v>
      </c>
      <c r="B123" s="41" t="s">
        <v>181</v>
      </c>
      <c r="C123" s="42" t="s">
        <v>42</v>
      </c>
      <c r="D123" s="44" t="s">
        <v>32</v>
      </c>
      <c r="E123" s="44">
        <v>9</v>
      </c>
      <c r="F123" s="45" t="s">
        <v>43</v>
      </c>
      <c r="G123" s="45" t="s">
        <v>26</v>
      </c>
      <c r="H123" s="46">
        <f>10914.75/1.22</f>
        <v>8946.5163934426237</v>
      </c>
      <c r="I123" s="45" t="s">
        <v>27</v>
      </c>
      <c r="J123" s="47">
        <f t="shared" si="22"/>
        <v>8946.5163934426237</v>
      </c>
      <c r="K123" s="47">
        <f t="shared" si="13"/>
        <v>80518.647540983613</v>
      </c>
      <c r="L123" s="45" t="s">
        <v>69</v>
      </c>
      <c r="M123" s="45" t="s">
        <v>26</v>
      </c>
      <c r="N123" s="46">
        <f>12366.41/1.22</f>
        <v>10136.401639344262</v>
      </c>
      <c r="O123" s="45" t="s">
        <v>27</v>
      </c>
      <c r="P123" s="47">
        <f t="shared" si="23"/>
        <v>10136.401639344262</v>
      </c>
      <c r="Q123" s="47">
        <f t="shared" si="15"/>
        <v>91227.614754098351</v>
      </c>
      <c r="R123" s="45" t="s">
        <v>45</v>
      </c>
      <c r="S123" s="45" t="s">
        <v>26</v>
      </c>
      <c r="T123" s="46">
        <f>12846.66/1.22</f>
        <v>10530.049180327869</v>
      </c>
      <c r="U123" s="45" t="s">
        <v>27</v>
      </c>
      <c r="V123" s="47">
        <f t="shared" si="16"/>
        <v>10530.049180327869</v>
      </c>
      <c r="W123" s="47">
        <f t="shared" si="17"/>
        <v>94770.442622950824</v>
      </c>
      <c r="X123" s="48">
        <f t="shared" si="18"/>
        <v>8946.5163934426237</v>
      </c>
      <c r="Y123" s="49"/>
      <c r="Z123" s="50">
        <f t="shared" si="19"/>
        <v>9870.9890710382515</v>
      </c>
      <c r="AA123" s="51">
        <f t="shared" si="20"/>
        <v>-9.3655526405966185</v>
      </c>
      <c r="AB123" s="50">
        <f t="shared" si="21"/>
        <v>80518.647540983613</v>
      </c>
    </row>
    <row r="124" spans="1:28" ht="25.5" x14ac:dyDescent="0.25">
      <c r="A124" s="40">
        <v>115</v>
      </c>
      <c r="B124" s="41" t="s">
        <v>182</v>
      </c>
      <c r="C124" s="42" t="s">
        <v>42</v>
      </c>
      <c r="D124" s="44" t="s">
        <v>32</v>
      </c>
      <c r="E124" s="44">
        <v>4</v>
      </c>
      <c r="F124" s="45" t="s">
        <v>43</v>
      </c>
      <c r="G124" s="45" t="s">
        <v>26</v>
      </c>
      <c r="H124" s="46">
        <f>4033.05/1.22</f>
        <v>3305.7786885245905</v>
      </c>
      <c r="I124" s="45" t="s">
        <v>27</v>
      </c>
      <c r="J124" s="47">
        <f t="shared" si="22"/>
        <v>3305.7786885245905</v>
      </c>
      <c r="K124" s="47">
        <f t="shared" si="13"/>
        <v>13223.114754098362</v>
      </c>
      <c r="L124" s="45" t="s">
        <v>69</v>
      </c>
      <c r="M124" s="45" t="s">
        <v>26</v>
      </c>
      <c r="N124" s="46">
        <f>4569.45/1.22</f>
        <v>3745.4508196721313</v>
      </c>
      <c r="O124" s="45" t="s">
        <v>27</v>
      </c>
      <c r="P124" s="47">
        <f t="shared" si="23"/>
        <v>3745.4508196721313</v>
      </c>
      <c r="Q124" s="47">
        <f t="shared" si="15"/>
        <v>14981.803278688525</v>
      </c>
      <c r="R124" s="45" t="s">
        <v>45</v>
      </c>
      <c r="S124" s="45" t="s">
        <v>26</v>
      </c>
      <c r="T124" s="46">
        <f>4746.9/1.22</f>
        <v>3890.9016393442621</v>
      </c>
      <c r="U124" s="45" t="s">
        <v>27</v>
      </c>
      <c r="V124" s="47">
        <f t="shared" si="16"/>
        <v>3890.9016393442621</v>
      </c>
      <c r="W124" s="47">
        <f t="shared" si="17"/>
        <v>15563.606557377048</v>
      </c>
      <c r="X124" s="48">
        <f t="shared" si="18"/>
        <v>3305.7786885245905</v>
      </c>
      <c r="Y124" s="49"/>
      <c r="Z124" s="50">
        <f t="shared" si="19"/>
        <v>3647.377049180328</v>
      </c>
      <c r="AA124" s="51">
        <f t="shared" si="20"/>
        <v>-9.3655894646950344</v>
      </c>
      <c r="AB124" s="50">
        <f t="shared" si="21"/>
        <v>13223.114754098362</v>
      </c>
    </row>
    <row r="125" spans="1:28" ht="25.5" x14ac:dyDescent="0.25">
      <c r="A125" s="40">
        <v>116</v>
      </c>
      <c r="B125" s="41" t="s">
        <v>183</v>
      </c>
      <c r="C125" s="42" t="s">
        <v>42</v>
      </c>
      <c r="D125" s="44" t="s">
        <v>32</v>
      </c>
      <c r="E125" s="44">
        <v>9</v>
      </c>
      <c r="F125" s="45" t="s">
        <v>43</v>
      </c>
      <c r="G125" s="45" t="s">
        <v>26</v>
      </c>
      <c r="H125" s="46">
        <f>2223.45/1.22</f>
        <v>1822.5</v>
      </c>
      <c r="I125" s="45" t="s">
        <v>27</v>
      </c>
      <c r="J125" s="47">
        <f t="shared" si="22"/>
        <v>1822.5</v>
      </c>
      <c r="K125" s="47">
        <f t="shared" si="13"/>
        <v>16402.5</v>
      </c>
      <c r="L125" s="45" t="s">
        <v>69</v>
      </c>
      <c r="M125" s="45" t="s">
        <v>26</v>
      </c>
      <c r="N125" s="46">
        <f>2519.17/1.22</f>
        <v>2064.8934426229507</v>
      </c>
      <c r="O125" s="45" t="s">
        <v>27</v>
      </c>
      <c r="P125" s="47">
        <f t="shared" si="23"/>
        <v>2064.8934426229507</v>
      </c>
      <c r="Q125" s="47">
        <f t="shared" si="15"/>
        <v>18584.040983606556</v>
      </c>
      <c r="R125" s="45" t="s">
        <v>45</v>
      </c>
      <c r="S125" s="45" t="s">
        <v>26</v>
      </c>
      <c r="T125" s="46">
        <f>2617/1.22</f>
        <v>2145.0819672131147</v>
      </c>
      <c r="U125" s="45" t="s">
        <v>27</v>
      </c>
      <c r="V125" s="47">
        <f t="shared" si="16"/>
        <v>2145.0819672131147</v>
      </c>
      <c r="W125" s="47">
        <f t="shared" si="17"/>
        <v>19305.737704918032</v>
      </c>
      <c r="X125" s="48">
        <f t="shared" si="18"/>
        <v>1822.5</v>
      </c>
      <c r="Y125" s="57"/>
      <c r="Z125" s="50">
        <f t="shared" si="19"/>
        <v>2010.8251366120219</v>
      </c>
      <c r="AA125" s="51">
        <f t="shared" si="20"/>
        <v>-9.3655650699356841</v>
      </c>
      <c r="AB125" s="50">
        <f t="shared" si="21"/>
        <v>16402.5</v>
      </c>
    </row>
    <row r="126" spans="1:28" ht="25.5" x14ac:dyDescent="0.25">
      <c r="A126" s="53">
        <v>117</v>
      </c>
      <c r="B126" s="41" t="s">
        <v>184</v>
      </c>
      <c r="C126" s="42" t="s">
        <v>47</v>
      </c>
      <c r="D126" s="44" t="s">
        <v>24</v>
      </c>
      <c r="E126" s="44">
        <v>3456</v>
      </c>
      <c r="F126" s="45" t="s">
        <v>49</v>
      </c>
      <c r="G126" s="45" t="s">
        <v>26</v>
      </c>
      <c r="H126" s="46">
        <v>78.53</v>
      </c>
      <c r="I126" s="45" t="s">
        <v>27</v>
      </c>
      <c r="J126" s="47">
        <f t="shared" si="22"/>
        <v>78.53</v>
      </c>
      <c r="K126" s="47">
        <f t="shared" si="13"/>
        <v>271399.67999999999</v>
      </c>
      <c r="L126" s="45" t="s">
        <v>50</v>
      </c>
      <c r="M126" s="45" t="s">
        <v>26</v>
      </c>
      <c r="N126" s="46">
        <v>78.98</v>
      </c>
      <c r="O126" s="45" t="s">
        <v>27</v>
      </c>
      <c r="P126" s="47">
        <f t="shared" si="23"/>
        <v>78.98</v>
      </c>
      <c r="Q126" s="47">
        <f t="shared" si="15"/>
        <v>272954.88</v>
      </c>
      <c r="R126" s="45" t="s">
        <v>51</v>
      </c>
      <c r="S126" s="45" t="s">
        <v>26</v>
      </c>
      <c r="T126" s="46">
        <f>97.37/1.22</f>
        <v>79.811475409836078</v>
      </c>
      <c r="U126" s="45" t="s">
        <v>27</v>
      </c>
      <c r="V126" s="47">
        <f t="shared" si="16"/>
        <v>79.811475409836078</v>
      </c>
      <c r="W126" s="47">
        <f t="shared" si="17"/>
        <v>275828.45901639346</v>
      </c>
      <c r="X126" s="48">
        <f t="shared" si="18"/>
        <v>78.53</v>
      </c>
      <c r="Y126" s="49"/>
      <c r="Z126" s="50">
        <f t="shared" si="19"/>
        <v>79.107158469945361</v>
      </c>
      <c r="AA126" s="51">
        <f t="shared" si="20"/>
        <v>-0.72959069837483526</v>
      </c>
      <c r="AB126" s="50">
        <f t="shared" si="21"/>
        <v>271399.67999999999</v>
      </c>
    </row>
    <row r="127" spans="1:28" ht="25.5" x14ac:dyDescent="0.25">
      <c r="A127" s="40">
        <v>118</v>
      </c>
      <c r="B127" s="41" t="s">
        <v>185</v>
      </c>
      <c r="C127" s="42" t="s">
        <v>47</v>
      </c>
      <c r="D127" s="44" t="s">
        <v>24</v>
      </c>
      <c r="E127" s="44">
        <v>2485</v>
      </c>
      <c r="F127" s="45" t="s">
        <v>49</v>
      </c>
      <c r="G127" s="45" t="s">
        <v>26</v>
      </c>
      <c r="H127" s="46">
        <v>137.71</v>
      </c>
      <c r="I127" s="45" t="s">
        <v>27</v>
      </c>
      <c r="J127" s="47">
        <f t="shared" si="22"/>
        <v>137.71</v>
      </c>
      <c r="K127" s="47">
        <f t="shared" si="13"/>
        <v>342209.35000000003</v>
      </c>
      <c r="L127" s="45" t="s">
        <v>50</v>
      </c>
      <c r="M127" s="45" t="s">
        <v>26</v>
      </c>
      <c r="N127" s="46">
        <v>139.22999999999999</v>
      </c>
      <c r="O127" s="45" t="s">
        <v>27</v>
      </c>
      <c r="P127" s="47">
        <f t="shared" si="23"/>
        <v>139.22999999999999</v>
      </c>
      <c r="Q127" s="47">
        <f t="shared" si="15"/>
        <v>345986.55</v>
      </c>
      <c r="R127" s="45" t="s">
        <v>51</v>
      </c>
      <c r="S127" s="45" t="s">
        <v>26</v>
      </c>
      <c r="T127" s="46">
        <f>168.49/1.22</f>
        <v>138.1065573770492</v>
      </c>
      <c r="U127" s="45" t="s">
        <v>27</v>
      </c>
      <c r="V127" s="47">
        <f t="shared" si="16"/>
        <v>138.1065573770492</v>
      </c>
      <c r="W127" s="47">
        <f t="shared" si="17"/>
        <v>343194.79508196726</v>
      </c>
      <c r="X127" s="48">
        <f t="shared" si="18"/>
        <v>137.71</v>
      </c>
      <c r="Y127" s="49"/>
      <c r="Z127" s="50">
        <f t="shared" si="19"/>
        <v>138.3488524590164</v>
      </c>
      <c r="AA127" s="51">
        <f t="shared" si="20"/>
        <v>-0.46176925045739381</v>
      </c>
      <c r="AB127" s="50">
        <f t="shared" si="21"/>
        <v>342209.35000000003</v>
      </c>
    </row>
    <row r="128" spans="1:28" ht="25.5" x14ac:dyDescent="0.25">
      <c r="A128" s="40">
        <v>119</v>
      </c>
      <c r="B128" s="41" t="s">
        <v>186</v>
      </c>
      <c r="C128" s="42" t="s">
        <v>47</v>
      </c>
      <c r="D128" s="44" t="s">
        <v>24</v>
      </c>
      <c r="E128" s="44">
        <v>11569</v>
      </c>
      <c r="F128" s="45" t="s">
        <v>49</v>
      </c>
      <c r="G128" s="45" t="s">
        <v>26</v>
      </c>
      <c r="H128" s="46">
        <v>279.75</v>
      </c>
      <c r="I128" s="45" t="s">
        <v>27</v>
      </c>
      <c r="J128" s="47">
        <f t="shared" si="22"/>
        <v>279.75</v>
      </c>
      <c r="K128" s="47">
        <f t="shared" si="13"/>
        <v>3236427.75</v>
      </c>
      <c r="L128" s="45" t="s">
        <v>50</v>
      </c>
      <c r="M128" s="45" t="s">
        <v>26</v>
      </c>
      <c r="N128" s="46">
        <v>282.19</v>
      </c>
      <c r="O128" s="45" t="s">
        <v>27</v>
      </c>
      <c r="P128" s="47">
        <f t="shared" si="23"/>
        <v>282.19</v>
      </c>
      <c r="Q128" s="47">
        <f t="shared" si="15"/>
        <v>3264656.11</v>
      </c>
      <c r="R128" s="45" t="s">
        <v>51</v>
      </c>
      <c r="S128" s="45" t="s">
        <v>26</v>
      </c>
      <c r="T128" s="46">
        <f>342.8/1.22</f>
        <v>280.98360655737707</v>
      </c>
      <c r="U128" s="45" t="s">
        <v>27</v>
      </c>
      <c r="V128" s="47">
        <f t="shared" si="16"/>
        <v>280.98360655737707</v>
      </c>
      <c r="W128" s="47">
        <f t="shared" si="17"/>
        <v>3250699.3442622954</v>
      </c>
      <c r="X128" s="48">
        <f t="shared" si="18"/>
        <v>279.75</v>
      </c>
      <c r="Y128" s="57"/>
      <c r="Z128" s="50">
        <f t="shared" si="19"/>
        <v>280.97453551912571</v>
      </c>
      <c r="AA128" s="51">
        <f t="shared" si="20"/>
        <v>-0.43581725897803381</v>
      </c>
      <c r="AB128" s="50">
        <f t="shared" si="21"/>
        <v>3236427.75</v>
      </c>
    </row>
    <row r="129" spans="1:28" ht="25.5" x14ac:dyDescent="0.25">
      <c r="A129" s="53">
        <v>120</v>
      </c>
      <c r="B129" s="41" t="s">
        <v>187</v>
      </c>
      <c r="C129" s="42" t="s">
        <v>47</v>
      </c>
      <c r="D129" s="44" t="s">
        <v>24</v>
      </c>
      <c r="E129" s="44">
        <v>1892</v>
      </c>
      <c r="F129" s="45" t="s">
        <v>49</v>
      </c>
      <c r="G129" s="45" t="s">
        <v>26</v>
      </c>
      <c r="H129" s="46">
        <v>406.16</v>
      </c>
      <c r="I129" s="45" t="s">
        <v>27</v>
      </c>
      <c r="J129" s="47">
        <f t="shared" si="22"/>
        <v>406.16</v>
      </c>
      <c r="K129" s="47">
        <f t="shared" si="13"/>
        <v>768454.72000000009</v>
      </c>
      <c r="L129" s="45" t="s">
        <v>50</v>
      </c>
      <c r="M129" s="45" t="s">
        <v>26</v>
      </c>
      <c r="N129" s="46">
        <v>410.03</v>
      </c>
      <c r="O129" s="45" t="s">
        <v>27</v>
      </c>
      <c r="P129" s="47">
        <f t="shared" si="23"/>
        <v>410.03</v>
      </c>
      <c r="Q129" s="47">
        <f t="shared" si="15"/>
        <v>775776.75999999989</v>
      </c>
      <c r="R129" s="45" t="s">
        <v>51</v>
      </c>
      <c r="S129" s="45" t="s">
        <v>26</v>
      </c>
      <c r="T129" s="46">
        <f>497.63/1.22</f>
        <v>407.89344262295083</v>
      </c>
      <c r="U129" s="45" t="s">
        <v>27</v>
      </c>
      <c r="V129" s="47">
        <f t="shared" si="16"/>
        <v>407.89344262295083</v>
      </c>
      <c r="W129" s="47">
        <f t="shared" si="17"/>
        <v>771734.39344262297</v>
      </c>
      <c r="X129" s="48">
        <f t="shared" si="18"/>
        <v>406.16</v>
      </c>
      <c r="Y129" s="49"/>
      <c r="Z129" s="50">
        <f t="shared" si="19"/>
        <v>408.02781420765024</v>
      </c>
      <c r="AA129" s="51">
        <f t="shared" si="20"/>
        <v>-0.45776639302822275</v>
      </c>
      <c r="AB129" s="50">
        <f t="shared" si="21"/>
        <v>768454.72000000009</v>
      </c>
    </row>
    <row r="130" spans="1:28" ht="25.5" x14ac:dyDescent="0.25">
      <c r="A130" s="40">
        <v>121</v>
      </c>
      <c r="B130" s="41" t="s">
        <v>188</v>
      </c>
      <c r="C130" s="42" t="s">
        <v>47</v>
      </c>
      <c r="D130" s="44" t="s">
        <v>32</v>
      </c>
      <c r="E130" s="44">
        <v>342</v>
      </c>
      <c r="F130" s="45" t="s">
        <v>49</v>
      </c>
      <c r="G130" s="45" t="s">
        <v>26</v>
      </c>
      <c r="H130" s="46">
        <v>11.85</v>
      </c>
      <c r="I130" s="45" t="s">
        <v>27</v>
      </c>
      <c r="J130" s="47">
        <f t="shared" si="22"/>
        <v>11.85</v>
      </c>
      <c r="K130" s="47">
        <f t="shared" si="13"/>
        <v>4052.7</v>
      </c>
      <c r="L130" s="45" t="s">
        <v>50</v>
      </c>
      <c r="M130" s="45" t="s">
        <v>26</v>
      </c>
      <c r="N130" s="46">
        <v>12.03</v>
      </c>
      <c r="O130" s="45" t="s">
        <v>27</v>
      </c>
      <c r="P130" s="47">
        <f t="shared" si="23"/>
        <v>12.03</v>
      </c>
      <c r="Q130" s="47">
        <f t="shared" si="15"/>
        <v>4114.26</v>
      </c>
      <c r="R130" s="45" t="s">
        <v>51</v>
      </c>
      <c r="S130" s="45" t="s">
        <v>26</v>
      </c>
      <c r="T130" s="46">
        <f>15.86/1.22</f>
        <v>13</v>
      </c>
      <c r="U130" s="45" t="s">
        <v>27</v>
      </c>
      <c r="V130" s="47">
        <f t="shared" si="16"/>
        <v>13</v>
      </c>
      <c r="W130" s="47">
        <f t="shared" si="17"/>
        <v>4446</v>
      </c>
      <c r="X130" s="48">
        <f t="shared" si="18"/>
        <v>11.85</v>
      </c>
      <c r="Y130" s="49"/>
      <c r="Z130" s="50">
        <f t="shared" si="19"/>
        <v>12.293333333333331</v>
      </c>
      <c r="AA130" s="51">
        <f t="shared" si="20"/>
        <v>-3.6062906724511805</v>
      </c>
      <c r="AB130" s="50">
        <f t="shared" si="21"/>
        <v>4052.7</v>
      </c>
    </row>
    <row r="131" spans="1:28" ht="25.5" x14ac:dyDescent="0.25">
      <c r="A131" s="40">
        <v>122</v>
      </c>
      <c r="B131" s="41" t="s">
        <v>189</v>
      </c>
      <c r="C131" s="42" t="s">
        <v>47</v>
      </c>
      <c r="D131" s="44" t="s">
        <v>40</v>
      </c>
      <c r="E131" s="44">
        <v>195.5</v>
      </c>
      <c r="F131" s="45" t="s">
        <v>49</v>
      </c>
      <c r="G131" s="45" t="s">
        <v>26</v>
      </c>
      <c r="H131" s="46">
        <v>16.63</v>
      </c>
      <c r="I131" s="45" t="s">
        <v>27</v>
      </c>
      <c r="J131" s="47">
        <f t="shared" si="22"/>
        <v>16.63</v>
      </c>
      <c r="K131" s="47">
        <f t="shared" si="13"/>
        <v>3251.165</v>
      </c>
      <c r="L131" s="45" t="s">
        <v>50</v>
      </c>
      <c r="M131" s="45" t="s">
        <v>26</v>
      </c>
      <c r="N131" s="46">
        <v>16.97</v>
      </c>
      <c r="O131" s="45" t="s">
        <v>27</v>
      </c>
      <c r="P131" s="47">
        <f t="shared" si="23"/>
        <v>16.97</v>
      </c>
      <c r="Q131" s="47">
        <f t="shared" si="15"/>
        <v>3317.6349999999998</v>
      </c>
      <c r="R131" s="45" t="s">
        <v>51</v>
      </c>
      <c r="S131" s="45" t="s">
        <v>26</v>
      </c>
      <c r="T131" s="46">
        <f>21.96/1.22</f>
        <v>18</v>
      </c>
      <c r="U131" s="45" t="s">
        <v>27</v>
      </c>
      <c r="V131" s="47">
        <f t="shared" si="16"/>
        <v>18</v>
      </c>
      <c r="W131" s="47">
        <f t="shared" si="17"/>
        <v>3519</v>
      </c>
      <c r="X131" s="48">
        <f t="shared" si="18"/>
        <v>16.63</v>
      </c>
      <c r="Y131" s="57"/>
      <c r="Z131" s="50">
        <f t="shared" si="19"/>
        <v>17.2</v>
      </c>
      <c r="AA131" s="51">
        <f t="shared" si="20"/>
        <v>-3.3139534883720927</v>
      </c>
      <c r="AB131" s="50">
        <f t="shared" si="21"/>
        <v>3251.165</v>
      </c>
    </row>
    <row r="132" spans="1:28" ht="25.5" x14ac:dyDescent="0.25">
      <c r="A132" s="53">
        <v>123</v>
      </c>
      <c r="B132" s="41" t="s">
        <v>190</v>
      </c>
      <c r="C132" s="42" t="s">
        <v>47</v>
      </c>
      <c r="D132" s="44" t="s">
        <v>191</v>
      </c>
      <c r="E132" s="44">
        <v>362.3</v>
      </c>
      <c r="F132" s="45" t="s">
        <v>49</v>
      </c>
      <c r="G132" s="45" t="s">
        <v>26</v>
      </c>
      <c r="H132" s="46">
        <v>548.74</v>
      </c>
      <c r="I132" s="45" t="s">
        <v>27</v>
      </c>
      <c r="J132" s="47">
        <f t="shared" si="22"/>
        <v>548.74</v>
      </c>
      <c r="K132" s="47">
        <f t="shared" si="13"/>
        <v>198808.50200000001</v>
      </c>
      <c r="L132" s="45" t="s">
        <v>50</v>
      </c>
      <c r="M132" s="45" t="s">
        <v>26</v>
      </c>
      <c r="N132" s="46">
        <v>554.09</v>
      </c>
      <c r="O132" s="45" t="s">
        <v>27</v>
      </c>
      <c r="P132" s="47">
        <f t="shared" si="23"/>
        <v>554.09</v>
      </c>
      <c r="Q132" s="47">
        <f t="shared" si="15"/>
        <v>200746.80700000003</v>
      </c>
      <c r="R132" s="45" t="s">
        <v>51</v>
      </c>
      <c r="S132" s="45" t="s">
        <v>26</v>
      </c>
      <c r="T132" s="46">
        <f>671.18/1.22</f>
        <v>550.14754098360652</v>
      </c>
      <c r="U132" s="45" t="s">
        <v>27</v>
      </c>
      <c r="V132" s="47">
        <f t="shared" si="16"/>
        <v>550.14754098360652</v>
      </c>
      <c r="W132" s="47">
        <f t="shared" si="17"/>
        <v>199318.45409836064</v>
      </c>
      <c r="X132" s="48">
        <f t="shared" si="18"/>
        <v>548.74</v>
      </c>
      <c r="Y132" s="49"/>
      <c r="Z132" s="50">
        <f t="shared" si="19"/>
        <v>550.99251366120222</v>
      </c>
      <c r="AA132" s="51">
        <f t="shared" si="20"/>
        <v>-0.4088102116369754</v>
      </c>
      <c r="AB132" s="50">
        <f t="shared" si="21"/>
        <v>198808.50200000001</v>
      </c>
    </row>
    <row r="133" spans="1:28" ht="27" x14ac:dyDescent="0.25">
      <c r="A133" s="40">
        <v>124</v>
      </c>
      <c r="B133" s="41" t="s">
        <v>192</v>
      </c>
      <c r="C133" s="42" t="s">
        <v>47</v>
      </c>
      <c r="D133" s="44" t="s">
        <v>32</v>
      </c>
      <c r="E133" s="44">
        <v>15</v>
      </c>
      <c r="F133" s="45" t="s">
        <v>49</v>
      </c>
      <c r="G133" s="45" t="s">
        <v>26</v>
      </c>
      <c r="H133" s="46">
        <v>371.56</v>
      </c>
      <c r="I133" s="45" t="s">
        <v>27</v>
      </c>
      <c r="J133" s="47">
        <f t="shared" si="22"/>
        <v>371.56</v>
      </c>
      <c r="K133" s="47">
        <f t="shared" si="13"/>
        <v>5573.4</v>
      </c>
      <c r="L133" s="45" t="s">
        <v>50</v>
      </c>
      <c r="M133" s="45" t="s">
        <v>26</v>
      </c>
      <c r="N133" s="46">
        <v>375.48</v>
      </c>
      <c r="O133" s="45" t="s">
        <v>27</v>
      </c>
      <c r="P133" s="47">
        <f t="shared" si="23"/>
        <v>375.48</v>
      </c>
      <c r="Q133" s="47">
        <f t="shared" si="15"/>
        <v>5632.2000000000007</v>
      </c>
      <c r="R133" s="45" t="s">
        <v>51</v>
      </c>
      <c r="S133" s="45" t="s">
        <v>26</v>
      </c>
      <c r="T133" s="46">
        <f>463.6/1.22</f>
        <v>380</v>
      </c>
      <c r="U133" s="45" t="s">
        <v>27</v>
      </c>
      <c r="V133" s="47">
        <f t="shared" si="16"/>
        <v>380</v>
      </c>
      <c r="W133" s="47">
        <f t="shared" si="17"/>
        <v>5700</v>
      </c>
      <c r="X133" s="48">
        <f t="shared" si="18"/>
        <v>371.56</v>
      </c>
      <c r="Y133" s="49"/>
      <c r="Z133" s="50">
        <f t="shared" si="19"/>
        <v>375.68</v>
      </c>
      <c r="AA133" s="51">
        <f t="shared" si="20"/>
        <v>-1.0966780238500888</v>
      </c>
      <c r="AB133" s="50">
        <f t="shared" si="21"/>
        <v>5573.4</v>
      </c>
    </row>
    <row r="134" spans="1:28" ht="27" x14ac:dyDescent="0.25">
      <c r="A134" s="40">
        <v>125</v>
      </c>
      <c r="B134" s="41" t="s">
        <v>193</v>
      </c>
      <c r="C134" s="42" t="s">
        <v>194</v>
      </c>
      <c r="D134" s="44" t="s">
        <v>32</v>
      </c>
      <c r="E134" s="44">
        <v>50</v>
      </c>
      <c r="F134" s="45" t="s">
        <v>195</v>
      </c>
      <c r="G134" s="45" t="s">
        <v>26</v>
      </c>
      <c r="H134" s="46">
        <f>37524.15/1.22</f>
        <v>30757.500000000004</v>
      </c>
      <c r="I134" s="45" t="s">
        <v>27</v>
      </c>
      <c r="J134" s="47">
        <f t="shared" si="22"/>
        <v>30757.500000000004</v>
      </c>
      <c r="K134" s="47">
        <f t="shared" si="13"/>
        <v>1537875.0000000002</v>
      </c>
      <c r="L134" s="45" t="s">
        <v>196</v>
      </c>
      <c r="M134" s="45" t="s">
        <v>26</v>
      </c>
      <c r="N134" s="46">
        <f>41276.57/1.22</f>
        <v>33833.25409836066</v>
      </c>
      <c r="O134" s="45" t="s">
        <v>27</v>
      </c>
      <c r="P134" s="47">
        <f t="shared" si="23"/>
        <v>33833.25409836066</v>
      </c>
      <c r="Q134" s="47">
        <f t="shared" si="15"/>
        <v>1691662.704918033</v>
      </c>
      <c r="R134" s="45" t="s">
        <v>197</v>
      </c>
      <c r="S134" s="45" t="s">
        <v>26</v>
      </c>
      <c r="T134" s="46">
        <f>42027.05/1.22</f>
        <v>34448.401639344265</v>
      </c>
      <c r="U134" s="45" t="s">
        <v>27</v>
      </c>
      <c r="V134" s="47">
        <f t="shared" si="16"/>
        <v>34448.401639344265</v>
      </c>
      <c r="W134" s="47">
        <f t="shared" si="17"/>
        <v>1722420.0819672132</v>
      </c>
      <c r="X134" s="48">
        <f t="shared" si="18"/>
        <v>30757.500000000004</v>
      </c>
      <c r="Y134" s="57"/>
      <c r="Z134" s="50">
        <f t="shared" si="19"/>
        <v>33013.051912568306</v>
      </c>
      <c r="AA134" s="51">
        <f t="shared" si="20"/>
        <v>-6.8323035341958018</v>
      </c>
      <c r="AB134" s="50">
        <f t="shared" si="21"/>
        <v>1537875.0000000002</v>
      </c>
    </row>
    <row r="135" spans="1:28" ht="25.5" x14ac:dyDescent="0.25">
      <c r="A135" s="53">
        <v>126</v>
      </c>
      <c r="B135" s="41" t="s">
        <v>198</v>
      </c>
      <c r="C135" s="42" t="s">
        <v>47</v>
      </c>
      <c r="D135" s="44" t="s">
        <v>48</v>
      </c>
      <c r="E135" s="44">
        <v>1</v>
      </c>
      <c r="F135" s="45" t="s">
        <v>49</v>
      </c>
      <c r="G135" s="45" t="s">
        <v>26</v>
      </c>
      <c r="H135" s="46">
        <v>666.63</v>
      </c>
      <c r="I135" s="45" t="s">
        <v>27</v>
      </c>
      <c r="J135" s="47">
        <f t="shared" si="22"/>
        <v>666.63</v>
      </c>
      <c r="K135" s="47">
        <f t="shared" si="13"/>
        <v>666.63</v>
      </c>
      <c r="L135" s="45" t="s">
        <v>50</v>
      </c>
      <c r="M135" s="45" t="s">
        <v>26</v>
      </c>
      <c r="N135" s="46">
        <v>669.35</v>
      </c>
      <c r="O135" s="45" t="s">
        <v>27</v>
      </c>
      <c r="P135" s="47">
        <f t="shared" si="23"/>
        <v>669.35</v>
      </c>
      <c r="Q135" s="47">
        <f t="shared" si="15"/>
        <v>669.35</v>
      </c>
      <c r="R135" s="45" t="s">
        <v>51</v>
      </c>
      <c r="S135" s="45" t="s">
        <v>26</v>
      </c>
      <c r="T135" s="46">
        <f>827.16/1.2</f>
        <v>689.3</v>
      </c>
      <c r="U135" s="45" t="s">
        <v>27</v>
      </c>
      <c r="V135" s="47">
        <f t="shared" si="16"/>
        <v>689.3</v>
      </c>
      <c r="W135" s="47">
        <f t="shared" si="17"/>
        <v>689.3</v>
      </c>
      <c r="X135" s="48">
        <f t="shared" si="18"/>
        <v>666.63</v>
      </c>
      <c r="Y135" s="49"/>
      <c r="Z135" s="50">
        <f t="shared" si="19"/>
        <v>675.09333333333336</v>
      </c>
      <c r="AA135" s="51">
        <f t="shared" si="20"/>
        <v>-1.2536538157686863</v>
      </c>
      <c r="AB135" s="50">
        <f t="shared" si="21"/>
        <v>666.63</v>
      </c>
    </row>
    <row r="136" spans="1:28" ht="25.5" x14ac:dyDescent="0.25">
      <c r="A136" s="40">
        <v>127</v>
      </c>
      <c r="B136" s="41" t="s">
        <v>199</v>
      </c>
      <c r="C136" s="42" t="s">
        <v>47</v>
      </c>
      <c r="D136" s="44" t="s">
        <v>24</v>
      </c>
      <c r="E136" s="44">
        <v>30.9</v>
      </c>
      <c r="F136" s="45" t="s">
        <v>49</v>
      </c>
      <c r="G136" s="45" t="s">
        <v>26</v>
      </c>
      <c r="H136" s="46">
        <v>34.29</v>
      </c>
      <c r="I136" s="45" t="s">
        <v>27</v>
      </c>
      <c r="J136" s="47">
        <f t="shared" si="22"/>
        <v>34.29</v>
      </c>
      <c r="K136" s="47">
        <f t="shared" si="13"/>
        <v>1059.5609999999999</v>
      </c>
      <c r="L136" s="45" t="s">
        <v>50</v>
      </c>
      <c r="M136" s="45" t="s">
        <v>26</v>
      </c>
      <c r="N136" s="46">
        <v>34.99</v>
      </c>
      <c r="O136" s="45" t="s">
        <v>27</v>
      </c>
      <c r="P136" s="47">
        <f t="shared" si="23"/>
        <v>34.99</v>
      </c>
      <c r="Q136" s="47">
        <f t="shared" si="15"/>
        <v>1081.191</v>
      </c>
      <c r="R136" s="45" t="s">
        <v>51</v>
      </c>
      <c r="S136" s="45" t="s">
        <v>26</v>
      </c>
      <c r="T136" s="46">
        <f>44.18/1.22</f>
        <v>36.213114754098363</v>
      </c>
      <c r="U136" s="45" t="s">
        <v>27</v>
      </c>
      <c r="V136" s="47">
        <f t="shared" si="16"/>
        <v>36.213114754098363</v>
      </c>
      <c r="W136" s="47">
        <f t="shared" si="17"/>
        <v>1118.9852459016395</v>
      </c>
      <c r="X136" s="48">
        <f t="shared" si="18"/>
        <v>34.29</v>
      </c>
      <c r="Y136" s="49"/>
      <c r="Z136" s="50">
        <f t="shared" si="19"/>
        <v>35.16437158469946</v>
      </c>
      <c r="AA136" s="51">
        <f t="shared" si="20"/>
        <v>-2.4865269740236471</v>
      </c>
      <c r="AB136" s="50">
        <f t="shared" si="21"/>
        <v>1059.5609999999999</v>
      </c>
    </row>
    <row r="137" spans="1:28" ht="25.5" x14ac:dyDescent="0.25">
      <c r="A137" s="40">
        <v>128</v>
      </c>
      <c r="B137" s="41" t="s">
        <v>200</v>
      </c>
      <c r="C137" s="42" t="s">
        <v>47</v>
      </c>
      <c r="D137" s="44" t="s">
        <v>24</v>
      </c>
      <c r="E137" s="44">
        <v>766.55</v>
      </c>
      <c r="F137" s="45" t="s">
        <v>49</v>
      </c>
      <c r="G137" s="45" t="s">
        <v>26</v>
      </c>
      <c r="H137" s="46">
        <v>84.96</v>
      </c>
      <c r="I137" s="45" t="s">
        <v>27</v>
      </c>
      <c r="J137" s="47">
        <f t="shared" si="22"/>
        <v>84.96</v>
      </c>
      <c r="K137" s="47">
        <f t="shared" si="13"/>
        <v>65126.087999999989</v>
      </c>
      <c r="L137" s="45" t="s">
        <v>50</v>
      </c>
      <c r="M137" s="45" t="s">
        <v>26</v>
      </c>
      <c r="N137" s="46">
        <v>85.97</v>
      </c>
      <c r="O137" s="45" t="s">
        <v>27</v>
      </c>
      <c r="P137" s="47">
        <f t="shared" si="23"/>
        <v>85.97</v>
      </c>
      <c r="Q137" s="47">
        <f t="shared" si="15"/>
        <v>65900.303499999995</v>
      </c>
      <c r="R137" s="45" t="s">
        <v>51</v>
      </c>
      <c r="S137" s="45" t="s">
        <v>26</v>
      </c>
      <c r="T137" s="46">
        <f>105.98/1.22</f>
        <v>86.868852459016395</v>
      </c>
      <c r="U137" s="45" t="s">
        <v>27</v>
      </c>
      <c r="V137" s="47">
        <f t="shared" si="16"/>
        <v>86.868852459016395</v>
      </c>
      <c r="W137" s="47">
        <f t="shared" si="17"/>
        <v>66589.318852459008</v>
      </c>
      <c r="X137" s="48">
        <f t="shared" si="18"/>
        <v>84.96</v>
      </c>
      <c r="Y137" s="57"/>
      <c r="Z137" s="50">
        <f t="shared" si="19"/>
        <v>85.932950819672143</v>
      </c>
      <c r="AA137" s="51">
        <f t="shared" si="20"/>
        <v>-1.1322208889507976</v>
      </c>
      <c r="AB137" s="50">
        <f t="shared" si="21"/>
        <v>65126.087999999989</v>
      </c>
    </row>
    <row r="138" spans="1:28" ht="27" x14ac:dyDescent="0.25">
      <c r="A138" s="53">
        <v>129</v>
      </c>
      <c r="B138" s="41" t="s">
        <v>201</v>
      </c>
      <c r="C138" s="42" t="s">
        <v>47</v>
      </c>
      <c r="D138" s="44" t="s">
        <v>24</v>
      </c>
      <c r="E138" s="44">
        <v>2848</v>
      </c>
      <c r="F138" s="45" t="s">
        <v>49</v>
      </c>
      <c r="G138" s="45" t="s">
        <v>26</v>
      </c>
      <c r="H138" s="46">
        <v>91.87</v>
      </c>
      <c r="I138" s="45" t="s">
        <v>27</v>
      </c>
      <c r="J138" s="47">
        <f t="shared" ref="J138:J169" si="24">H138</f>
        <v>91.87</v>
      </c>
      <c r="K138" s="47">
        <f t="shared" ref="K138:K201" si="25">J138*E138</f>
        <v>261645.76</v>
      </c>
      <c r="L138" s="45" t="s">
        <v>50</v>
      </c>
      <c r="M138" s="45" t="s">
        <v>26</v>
      </c>
      <c r="N138" s="46">
        <v>92.71</v>
      </c>
      <c r="O138" s="45" t="s">
        <v>27</v>
      </c>
      <c r="P138" s="47">
        <f t="shared" ref="P138:P169" si="26">N138</f>
        <v>92.71</v>
      </c>
      <c r="Q138" s="47">
        <f t="shared" ref="Q138:Q201" si="27">E138*P138</f>
        <v>264038.07999999996</v>
      </c>
      <c r="R138" s="45" t="s">
        <v>51</v>
      </c>
      <c r="S138" s="45" t="s">
        <v>26</v>
      </c>
      <c r="T138" s="46">
        <f>113.7/1.22</f>
        <v>93.196721311475414</v>
      </c>
      <c r="U138" s="45" t="s">
        <v>27</v>
      </c>
      <c r="V138" s="47">
        <f t="shared" ref="V138:V201" si="28">T138</f>
        <v>93.196721311475414</v>
      </c>
      <c r="W138" s="47">
        <f t="shared" ref="W138:W201" si="29">V138*E138</f>
        <v>265424.26229508198</v>
      </c>
      <c r="X138" s="48">
        <f t="shared" ref="X138:X201" si="30">MIN(H138,N138,T138)</f>
        <v>91.87</v>
      </c>
      <c r="Y138" s="49"/>
      <c r="Z138" s="50">
        <f t="shared" ref="Z138:Z201" si="31">AVERAGE(H138,N138,T138)</f>
        <v>92.592240437158466</v>
      </c>
      <c r="AA138" s="51">
        <f t="shared" ref="AA138:AA201" si="32">X138*100/Z138-100</f>
        <v>-0.78002263877462497</v>
      </c>
      <c r="AB138" s="50">
        <f t="shared" ref="AB138:AB201" si="33">X138*E138</f>
        <v>261645.76</v>
      </c>
    </row>
    <row r="139" spans="1:28" ht="40.5" x14ac:dyDescent="0.25">
      <c r="A139" s="40">
        <v>130</v>
      </c>
      <c r="B139" s="41" t="s">
        <v>202</v>
      </c>
      <c r="C139" s="42" t="s">
        <v>47</v>
      </c>
      <c r="D139" s="44" t="s">
        <v>24</v>
      </c>
      <c r="E139" s="44">
        <v>1100</v>
      </c>
      <c r="F139" s="45" t="s">
        <v>49</v>
      </c>
      <c r="G139" s="45" t="s">
        <v>26</v>
      </c>
      <c r="H139" s="46">
        <v>111.76</v>
      </c>
      <c r="I139" s="45" t="s">
        <v>27</v>
      </c>
      <c r="J139" s="47">
        <f t="shared" si="24"/>
        <v>111.76</v>
      </c>
      <c r="K139" s="47">
        <f t="shared" si="25"/>
        <v>122936</v>
      </c>
      <c r="L139" s="45" t="s">
        <v>50</v>
      </c>
      <c r="M139" s="45" t="s">
        <v>26</v>
      </c>
      <c r="N139" s="46">
        <v>112.11</v>
      </c>
      <c r="O139" s="45" t="s">
        <v>27</v>
      </c>
      <c r="P139" s="47">
        <f t="shared" si="26"/>
        <v>112.11</v>
      </c>
      <c r="Q139" s="47">
        <f t="shared" si="27"/>
        <v>123321</v>
      </c>
      <c r="R139" s="45" t="s">
        <v>51</v>
      </c>
      <c r="S139" s="45" t="s">
        <v>26</v>
      </c>
      <c r="T139" s="46">
        <f>140.91/1.22</f>
        <v>115.5</v>
      </c>
      <c r="U139" s="45" t="s">
        <v>27</v>
      </c>
      <c r="V139" s="47">
        <f t="shared" si="28"/>
        <v>115.5</v>
      </c>
      <c r="W139" s="47">
        <f t="shared" si="29"/>
        <v>127050</v>
      </c>
      <c r="X139" s="48">
        <f t="shared" si="30"/>
        <v>111.76</v>
      </c>
      <c r="Y139" s="49"/>
      <c r="Z139" s="50">
        <f t="shared" si="31"/>
        <v>113.12333333333333</v>
      </c>
      <c r="AA139" s="51">
        <f t="shared" si="32"/>
        <v>-1.2051742935439194</v>
      </c>
      <c r="AB139" s="50">
        <f t="shared" si="33"/>
        <v>122936</v>
      </c>
    </row>
    <row r="140" spans="1:28" ht="27" x14ac:dyDescent="0.25">
      <c r="A140" s="40">
        <v>131</v>
      </c>
      <c r="B140" s="41" t="s">
        <v>203</v>
      </c>
      <c r="C140" s="42" t="s">
        <v>47</v>
      </c>
      <c r="D140" s="44" t="s">
        <v>24</v>
      </c>
      <c r="E140" s="44">
        <v>985</v>
      </c>
      <c r="F140" s="45" t="s">
        <v>49</v>
      </c>
      <c r="G140" s="45" t="s">
        <v>26</v>
      </c>
      <c r="H140" s="46">
        <v>220.44</v>
      </c>
      <c r="I140" s="45" t="s">
        <v>27</v>
      </c>
      <c r="J140" s="47">
        <f t="shared" si="24"/>
        <v>220.44</v>
      </c>
      <c r="K140" s="47">
        <f t="shared" si="25"/>
        <v>217133.4</v>
      </c>
      <c r="L140" s="45" t="s">
        <v>50</v>
      </c>
      <c r="M140" s="45" t="s">
        <v>26</v>
      </c>
      <c r="N140" s="46">
        <v>222.15</v>
      </c>
      <c r="O140" s="45" t="s">
        <v>27</v>
      </c>
      <c r="P140" s="47">
        <f t="shared" si="26"/>
        <v>222.15</v>
      </c>
      <c r="Q140" s="47">
        <f t="shared" si="27"/>
        <v>218817.75</v>
      </c>
      <c r="R140" s="45" t="s">
        <v>51</v>
      </c>
      <c r="S140" s="45" t="s">
        <v>26</v>
      </c>
      <c r="T140" s="46">
        <f>270.71/1.22</f>
        <v>221.8934426229508</v>
      </c>
      <c r="U140" s="45" t="s">
        <v>27</v>
      </c>
      <c r="V140" s="47">
        <f t="shared" si="28"/>
        <v>221.8934426229508</v>
      </c>
      <c r="W140" s="47">
        <f t="shared" si="29"/>
        <v>218565.04098360654</v>
      </c>
      <c r="X140" s="48">
        <f t="shared" si="30"/>
        <v>220.44</v>
      </c>
      <c r="Y140" s="57"/>
      <c r="Z140" s="50">
        <f t="shared" si="31"/>
        <v>221.49448087431696</v>
      </c>
      <c r="AA140" s="51">
        <f t="shared" si="32"/>
        <v>-0.47607546253728117</v>
      </c>
      <c r="AB140" s="50">
        <f t="shared" si="33"/>
        <v>217133.4</v>
      </c>
    </row>
    <row r="141" spans="1:28" ht="25.5" x14ac:dyDescent="0.25">
      <c r="A141" s="53">
        <v>132</v>
      </c>
      <c r="B141" s="41" t="s">
        <v>204</v>
      </c>
      <c r="C141" s="42" t="s">
        <v>47</v>
      </c>
      <c r="D141" s="44" t="s">
        <v>32</v>
      </c>
      <c r="E141" s="44">
        <v>835</v>
      </c>
      <c r="F141" s="45" t="s">
        <v>49</v>
      </c>
      <c r="G141" s="45" t="s">
        <v>26</v>
      </c>
      <c r="H141" s="46">
        <v>7</v>
      </c>
      <c r="I141" s="45" t="s">
        <v>27</v>
      </c>
      <c r="J141" s="47">
        <f t="shared" si="24"/>
        <v>7</v>
      </c>
      <c r="K141" s="47">
        <f t="shared" si="25"/>
        <v>5845</v>
      </c>
      <c r="L141" s="45" t="s">
        <v>50</v>
      </c>
      <c r="M141" s="45" t="s">
        <v>26</v>
      </c>
      <c r="N141" s="46">
        <v>7.7</v>
      </c>
      <c r="O141" s="45" t="s">
        <v>27</v>
      </c>
      <c r="P141" s="47">
        <f t="shared" si="26"/>
        <v>7.7</v>
      </c>
      <c r="Q141" s="47">
        <f t="shared" si="27"/>
        <v>6429.5</v>
      </c>
      <c r="R141" s="45" t="s">
        <v>51</v>
      </c>
      <c r="S141" s="45" t="s">
        <v>26</v>
      </c>
      <c r="T141" s="46">
        <f>9.76/1.22</f>
        <v>8</v>
      </c>
      <c r="U141" s="45" t="s">
        <v>27</v>
      </c>
      <c r="V141" s="47">
        <f t="shared" si="28"/>
        <v>8</v>
      </c>
      <c r="W141" s="47">
        <f t="shared" si="29"/>
        <v>6680</v>
      </c>
      <c r="X141" s="48">
        <f t="shared" si="30"/>
        <v>7</v>
      </c>
      <c r="Y141" s="49"/>
      <c r="Z141" s="50">
        <f t="shared" si="31"/>
        <v>7.5666666666666664</v>
      </c>
      <c r="AA141" s="51">
        <f t="shared" si="32"/>
        <v>-7.4889867841409625</v>
      </c>
      <c r="AB141" s="50">
        <f t="shared" si="33"/>
        <v>5845</v>
      </c>
    </row>
    <row r="142" spans="1:28" ht="25.5" x14ac:dyDescent="0.25">
      <c r="A142" s="56">
        <v>133</v>
      </c>
      <c r="B142" s="41" t="s">
        <v>205</v>
      </c>
      <c r="C142" s="42" t="s">
        <v>23</v>
      </c>
      <c r="D142" s="44" t="s">
        <v>32</v>
      </c>
      <c r="E142" s="44">
        <v>1371</v>
      </c>
      <c r="F142" s="45" t="s">
        <v>25</v>
      </c>
      <c r="G142" s="45" t="s">
        <v>26</v>
      </c>
      <c r="H142" s="46">
        <v>9.1300000000000008</v>
      </c>
      <c r="I142" s="45" t="s">
        <v>27</v>
      </c>
      <c r="J142" s="47">
        <f t="shared" si="24"/>
        <v>9.1300000000000008</v>
      </c>
      <c r="K142" s="47">
        <f t="shared" si="25"/>
        <v>12517.230000000001</v>
      </c>
      <c r="L142" s="45" t="s">
        <v>28</v>
      </c>
      <c r="M142" s="45" t="s">
        <v>26</v>
      </c>
      <c r="N142" s="46">
        <v>9.5</v>
      </c>
      <c r="O142" s="45" t="s">
        <v>27</v>
      </c>
      <c r="P142" s="47">
        <f t="shared" si="26"/>
        <v>9.5</v>
      </c>
      <c r="Q142" s="47">
        <f t="shared" si="27"/>
        <v>13024.5</v>
      </c>
      <c r="R142" s="45" t="s">
        <v>29</v>
      </c>
      <c r="S142" s="45" t="s">
        <v>26</v>
      </c>
      <c r="T142" s="46">
        <v>9.61</v>
      </c>
      <c r="U142" s="45" t="s">
        <v>27</v>
      </c>
      <c r="V142" s="47">
        <f t="shared" si="28"/>
        <v>9.61</v>
      </c>
      <c r="W142" s="47">
        <f t="shared" si="29"/>
        <v>13175.31</v>
      </c>
      <c r="X142" s="48">
        <f t="shared" si="30"/>
        <v>9.1300000000000008</v>
      </c>
      <c r="Y142" s="49"/>
      <c r="Z142" s="50">
        <f t="shared" si="31"/>
        <v>9.413333333333334</v>
      </c>
      <c r="AA142" s="51">
        <f t="shared" si="32"/>
        <v>-3.0099150141643065</v>
      </c>
      <c r="AB142" s="50">
        <f t="shared" si="33"/>
        <v>12517.230000000001</v>
      </c>
    </row>
    <row r="143" spans="1:28" ht="25.5" x14ac:dyDescent="0.25">
      <c r="A143" s="56">
        <v>134</v>
      </c>
      <c r="B143" s="41" t="s">
        <v>206</v>
      </c>
      <c r="C143" s="42" t="s">
        <v>23</v>
      </c>
      <c r="D143" s="44" t="s">
        <v>32</v>
      </c>
      <c r="E143" s="44">
        <v>24</v>
      </c>
      <c r="F143" s="45" t="s">
        <v>25</v>
      </c>
      <c r="G143" s="45" t="s">
        <v>26</v>
      </c>
      <c r="H143" s="46">
        <v>127.4</v>
      </c>
      <c r="I143" s="45" t="s">
        <v>27</v>
      </c>
      <c r="J143" s="47">
        <f t="shared" si="24"/>
        <v>127.4</v>
      </c>
      <c r="K143" s="47">
        <f t="shared" si="25"/>
        <v>3057.6000000000004</v>
      </c>
      <c r="L143" s="45" t="s">
        <v>28</v>
      </c>
      <c r="M143" s="45" t="s">
        <v>26</v>
      </c>
      <c r="N143" s="46">
        <v>127.5</v>
      </c>
      <c r="O143" s="45" t="s">
        <v>27</v>
      </c>
      <c r="P143" s="47">
        <f t="shared" si="26"/>
        <v>127.5</v>
      </c>
      <c r="Q143" s="47">
        <f t="shared" si="27"/>
        <v>3060</v>
      </c>
      <c r="R143" s="45" t="s">
        <v>29</v>
      </c>
      <c r="S143" s="45" t="s">
        <v>26</v>
      </c>
      <c r="T143" s="46">
        <v>134.11000000000001</v>
      </c>
      <c r="U143" s="45" t="s">
        <v>27</v>
      </c>
      <c r="V143" s="47">
        <f t="shared" si="28"/>
        <v>134.11000000000001</v>
      </c>
      <c r="W143" s="47">
        <f t="shared" si="29"/>
        <v>3218.6400000000003</v>
      </c>
      <c r="X143" s="48">
        <f t="shared" si="30"/>
        <v>127.4</v>
      </c>
      <c r="Y143" s="54"/>
      <c r="Z143" s="50">
        <f t="shared" si="31"/>
        <v>129.66999999999999</v>
      </c>
      <c r="AA143" s="51">
        <f t="shared" si="32"/>
        <v>-1.7505976710110218</v>
      </c>
      <c r="AB143" s="50">
        <f t="shared" si="33"/>
        <v>3057.6000000000004</v>
      </c>
    </row>
    <row r="144" spans="1:28" ht="25.5" x14ac:dyDescent="0.25">
      <c r="A144" s="53">
        <v>135</v>
      </c>
      <c r="B144" s="41" t="s">
        <v>207</v>
      </c>
      <c r="C144" s="42" t="s">
        <v>42</v>
      </c>
      <c r="D144" s="44" t="s">
        <v>32</v>
      </c>
      <c r="E144" s="44">
        <v>1</v>
      </c>
      <c r="F144" s="45" t="s">
        <v>43</v>
      </c>
      <c r="G144" s="45" t="s">
        <v>26</v>
      </c>
      <c r="H144" s="46">
        <f>146161.25/1.22</f>
        <v>119804.30327868853</v>
      </c>
      <c r="I144" s="45" t="s">
        <v>27</v>
      </c>
      <c r="J144" s="47">
        <f t="shared" si="24"/>
        <v>119804.30327868853</v>
      </c>
      <c r="K144" s="47">
        <f t="shared" si="25"/>
        <v>119804.30327868853</v>
      </c>
      <c r="L144" s="45" t="s">
        <v>69</v>
      </c>
      <c r="M144" s="45" t="s">
        <v>26</v>
      </c>
      <c r="N144" s="46">
        <f>165600.7/1.22</f>
        <v>135738.27868852462</v>
      </c>
      <c r="O144" s="45" t="s">
        <v>27</v>
      </c>
      <c r="P144" s="47">
        <f t="shared" si="26"/>
        <v>135738.27868852462</v>
      </c>
      <c r="Q144" s="47">
        <f t="shared" si="27"/>
        <v>135738.27868852462</v>
      </c>
      <c r="R144" s="45" t="s">
        <v>45</v>
      </c>
      <c r="S144" s="45" t="s">
        <v>26</v>
      </c>
      <c r="T144" s="46">
        <f>172031.79/1.22</f>
        <v>141009.66393442624</v>
      </c>
      <c r="U144" s="45" t="s">
        <v>27</v>
      </c>
      <c r="V144" s="47">
        <f t="shared" si="28"/>
        <v>141009.66393442624</v>
      </c>
      <c r="W144" s="47">
        <f t="shared" si="29"/>
        <v>141009.66393442624</v>
      </c>
      <c r="X144" s="48">
        <f t="shared" si="30"/>
        <v>119804.30327868853</v>
      </c>
      <c r="Y144" s="49"/>
      <c r="Z144" s="50">
        <f t="shared" si="31"/>
        <v>132184.0819672131</v>
      </c>
      <c r="AA144" s="51">
        <f t="shared" si="32"/>
        <v>-9.3655593807393984</v>
      </c>
      <c r="AB144" s="50">
        <f t="shared" si="33"/>
        <v>119804.30327868853</v>
      </c>
    </row>
    <row r="145" spans="1:39" ht="27" x14ac:dyDescent="0.25">
      <c r="A145" s="40">
        <v>136</v>
      </c>
      <c r="B145" s="41" t="s">
        <v>208</v>
      </c>
      <c r="C145" s="42" t="s">
        <v>47</v>
      </c>
      <c r="D145" s="44" t="s">
        <v>32</v>
      </c>
      <c r="E145" s="44">
        <v>15</v>
      </c>
      <c r="F145" s="45" t="s">
        <v>49</v>
      </c>
      <c r="G145" s="45" t="s">
        <v>26</v>
      </c>
      <c r="H145" s="46">
        <v>15.96</v>
      </c>
      <c r="I145" s="45" t="s">
        <v>27</v>
      </c>
      <c r="J145" s="47">
        <f t="shared" si="24"/>
        <v>15.96</v>
      </c>
      <c r="K145" s="47">
        <f t="shared" si="25"/>
        <v>239.4</v>
      </c>
      <c r="L145" s="45" t="s">
        <v>50</v>
      </c>
      <c r="M145" s="45" t="s">
        <v>26</v>
      </c>
      <c r="N145" s="46">
        <v>16.12</v>
      </c>
      <c r="O145" s="45" t="s">
        <v>27</v>
      </c>
      <c r="P145" s="47">
        <f t="shared" si="26"/>
        <v>16.12</v>
      </c>
      <c r="Q145" s="47">
        <f t="shared" si="27"/>
        <v>241.8</v>
      </c>
      <c r="R145" s="45" t="s">
        <v>51</v>
      </c>
      <c r="S145" s="45" t="s">
        <v>26</v>
      </c>
      <c r="T145" s="46">
        <f>20.74/1.22</f>
        <v>17</v>
      </c>
      <c r="U145" s="45" t="s">
        <v>27</v>
      </c>
      <c r="V145" s="47">
        <f t="shared" si="28"/>
        <v>17</v>
      </c>
      <c r="W145" s="47">
        <f t="shared" si="29"/>
        <v>255</v>
      </c>
      <c r="X145" s="48">
        <f t="shared" si="30"/>
        <v>15.96</v>
      </c>
      <c r="Y145" s="49"/>
      <c r="Z145" s="50">
        <f t="shared" si="31"/>
        <v>16.36</v>
      </c>
      <c r="AA145" s="51">
        <f t="shared" si="32"/>
        <v>-2.4449877750611222</v>
      </c>
      <c r="AB145" s="50">
        <f t="shared" si="33"/>
        <v>239.4</v>
      </c>
    </row>
    <row r="146" spans="1:39" ht="25.5" x14ac:dyDescent="0.25">
      <c r="A146" s="40">
        <v>137</v>
      </c>
      <c r="B146" s="41" t="s">
        <v>209</v>
      </c>
      <c r="C146" s="42" t="s">
        <v>47</v>
      </c>
      <c r="D146" s="44" t="s">
        <v>32</v>
      </c>
      <c r="E146" s="44">
        <v>82</v>
      </c>
      <c r="F146" s="45" t="s">
        <v>49</v>
      </c>
      <c r="G146" s="45" t="s">
        <v>26</v>
      </c>
      <c r="H146" s="46">
        <v>17.850000000000001</v>
      </c>
      <c r="I146" s="45" t="s">
        <v>27</v>
      </c>
      <c r="J146" s="47">
        <f t="shared" si="24"/>
        <v>17.850000000000001</v>
      </c>
      <c r="K146" s="47">
        <f t="shared" si="25"/>
        <v>1463.7</v>
      </c>
      <c r="L146" s="45" t="s">
        <v>50</v>
      </c>
      <c r="M146" s="45" t="s">
        <v>26</v>
      </c>
      <c r="N146" s="46">
        <v>18</v>
      </c>
      <c r="O146" s="45" t="s">
        <v>27</v>
      </c>
      <c r="P146" s="47">
        <f t="shared" si="26"/>
        <v>18</v>
      </c>
      <c r="Q146" s="47">
        <f t="shared" si="27"/>
        <v>1476</v>
      </c>
      <c r="R146" s="45" t="s">
        <v>51</v>
      </c>
      <c r="S146" s="45" t="s">
        <v>26</v>
      </c>
      <c r="T146" s="46">
        <f>22.57/1.22</f>
        <v>18.5</v>
      </c>
      <c r="U146" s="45" t="s">
        <v>27</v>
      </c>
      <c r="V146" s="47">
        <f t="shared" si="28"/>
        <v>18.5</v>
      </c>
      <c r="W146" s="47">
        <f t="shared" si="29"/>
        <v>1517</v>
      </c>
      <c r="X146" s="48">
        <f t="shared" si="30"/>
        <v>17.850000000000001</v>
      </c>
      <c r="Y146" s="57"/>
      <c r="Z146" s="50">
        <f t="shared" si="31"/>
        <v>18.116666666666667</v>
      </c>
      <c r="AA146" s="51">
        <f t="shared" si="32"/>
        <v>-1.4719411223550907</v>
      </c>
      <c r="AB146" s="50">
        <f t="shared" si="33"/>
        <v>1463.7</v>
      </c>
    </row>
    <row r="147" spans="1:39" ht="25.5" x14ac:dyDescent="0.25">
      <c r="A147" s="53">
        <v>138</v>
      </c>
      <c r="B147" s="41" t="s">
        <v>210</v>
      </c>
      <c r="C147" s="42" t="s">
        <v>47</v>
      </c>
      <c r="D147" s="44" t="s">
        <v>32</v>
      </c>
      <c r="E147" s="44">
        <f>26+62</f>
        <v>88</v>
      </c>
      <c r="F147" s="45" t="s">
        <v>49</v>
      </c>
      <c r="G147" s="45" t="s">
        <v>26</v>
      </c>
      <c r="H147" s="46">
        <v>17.850000000000001</v>
      </c>
      <c r="I147" s="45" t="s">
        <v>27</v>
      </c>
      <c r="J147" s="47">
        <f t="shared" si="24"/>
        <v>17.850000000000001</v>
      </c>
      <c r="K147" s="47">
        <f t="shared" si="25"/>
        <v>1570.8000000000002</v>
      </c>
      <c r="L147" s="45" t="s">
        <v>50</v>
      </c>
      <c r="M147" s="45" t="s">
        <v>26</v>
      </c>
      <c r="N147" s="46">
        <v>18.89</v>
      </c>
      <c r="O147" s="45" t="s">
        <v>27</v>
      </c>
      <c r="P147" s="47">
        <f t="shared" si="26"/>
        <v>18.89</v>
      </c>
      <c r="Q147" s="47">
        <f t="shared" si="27"/>
        <v>1662.3200000000002</v>
      </c>
      <c r="R147" s="45" t="s">
        <v>51</v>
      </c>
      <c r="S147" s="45" t="s">
        <v>26</v>
      </c>
      <c r="T147" s="46">
        <f>21.96/1.22</f>
        <v>18</v>
      </c>
      <c r="U147" s="45" t="s">
        <v>27</v>
      </c>
      <c r="V147" s="47">
        <f t="shared" si="28"/>
        <v>18</v>
      </c>
      <c r="W147" s="47">
        <f t="shared" si="29"/>
        <v>1584</v>
      </c>
      <c r="X147" s="48">
        <f t="shared" si="30"/>
        <v>17.850000000000001</v>
      </c>
      <c r="Y147" s="49"/>
      <c r="Z147" s="50">
        <f t="shared" si="31"/>
        <v>18.246666666666666</v>
      </c>
      <c r="AA147" s="51">
        <f t="shared" si="32"/>
        <v>-2.173913043478251</v>
      </c>
      <c r="AB147" s="50">
        <f t="shared" si="33"/>
        <v>1570.8000000000002</v>
      </c>
    </row>
    <row r="148" spans="1:39" ht="27" x14ac:dyDescent="0.25">
      <c r="A148" s="40">
        <v>139</v>
      </c>
      <c r="B148" s="41" t="s">
        <v>211</v>
      </c>
      <c r="C148" s="42" t="s">
        <v>47</v>
      </c>
      <c r="D148" s="44" t="s">
        <v>24</v>
      </c>
      <c r="E148" s="44">
        <v>6596</v>
      </c>
      <c r="F148" s="45" t="s">
        <v>49</v>
      </c>
      <c r="G148" s="45" t="s">
        <v>26</v>
      </c>
      <c r="H148" s="46">
        <v>67.790000000000006</v>
      </c>
      <c r="I148" s="45" t="s">
        <v>27</v>
      </c>
      <c r="J148" s="47">
        <f t="shared" si="24"/>
        <v>67.790000000000006</v>
      </c>
      <c r="K148" s="47">
        <f t="shared" si="25"/>
        <v>447142.84</v>
      </c>
      <c r="L148" s="45" t="s">
        <v>50</v>
      </c>
      <c r="M148" s="45" t="s">
        <v>26</v>
      </c>
      <c r="N148" s="46">
        <v>68.78</v>
      </c>
      <c r="O148" s="45" t="s">
        <v>27</v>
      </c>
      <c r="P148" s="47">
        <f t="shared" si="26"/>
        <v>68.78</v>
      </c>
      <c r="Q148" s="47">
        <f t="shared" si="27"/>
        <v>453672.88</v>
      </c>
      <c r="R148" s="45" t="s">
        <v>51</v>
      </c>
      <c r="S148" s="45" t="s">
        <v>26</v>
      </c>
      <c r="T148" s="46">
        <f>85.03/1.22</f>
        <v>69.696721311475414</v>
      </c>
      <c r="U148" s="45" t="s">
        <v>27</v>
      </c>
      <c r="V148" s="47">
        <f t="shared" si="28"/>
        <v>69.696721311475414</v>
      </c>
      <c r="W148" s="47">
        <f t="shared" si="29"/>
        <v>459719.57377049181</v>
      </c>
      <c r="X148" s="48">
        <f t="shared" si="30"/>
        <v>67.790000000000006</v>
      </c>
      <c r="Y148" s="49"/>
      <c r="Z148" s="50">
        <f t="shared" si="31"/>
        <v>68.755573770491807</v>
      </c>
      <c r="AA148" s="51">
        <f t="shared" si="32"/>
        <v>-1.4043570834197538</v>
      </c>
      <c r="AB148" s="50">
        <f t="shared" si="33"/>
        <v>447142.84</v>
      </c>
    </row>
    <row r="149" spans="1:39" ht="27" x14ac:dyDescent="0.25">
      <c r="A149" s="40">
        <v>140</v>
      </c>
      <c r="B149" s="41" t="s">
        <v>212</v>
      </c>
      <c r="C149" s="42" t="s">
        <v>47</v>
      </c>
      <c r="D149" s="44" t="s">
        <v>24</v>
      </c>
      <c r="E149" s="44">
        <v>3921</v>
      </c>
      <c r="F149" s="45" t="s">
        <v>49</v>
      </c>
      <c r="G149" s="45" t="s">
        <v>26</v>
      </c>
      <c r="H149" s="46">
        <v>77.8</v>
      </c>
      <c r="I149" s="45" t="s">
        <v>27</v>
      </c>
      <c r="J149" s="47">
        <f t="shared" si="24"/>
        <v>77.8</v>
      </c>
      <c r="K149" s="47">
        <f t="shared" si="25"/>
        <v>305053.8</v>
      </c>
      <c r="L149" s="45" t="s">
        <v>50</v>
      </c>
      <c r="M149" s="45" t="s">
        <v>26</v>
      </c>
      <c r="N149" s="46">
        <v>79</v>
      </c>
      <c r="O149" s="45" t="s">
        <v>27</v>
      </c>
      <c r="P149" s="47">
        <f t="shared" si="26"/>
        <v>79</v>
      </c>
      <c r="Q149" s="47">
        <f t="shared" si="27"/>
        <v>309759</v>
      </c>
      <c r="R149" s="45" t="s">
        <v>51</v>
      </c>
      <c r="S149" s="45" t="s">
        <v>26</v>
      </c>
      <c r="T149" s="46">
        <f>101.26/1.22</f>
        <v>83</v>
      </c>
      <c r="U149" s="45" t="s">
        <v>27</v>
      </c>
      <c r="V149" s="47">
        <f t="shared" si="28"/>
        <v>83</v>
      </c>
      <c r="W149" s="47">
        <f t="shared" si="29"/>
        <v>325443</v>
      </c>
      <c r="X149" s="48">
        <f t="shared" si="30"/>
        <v>77.8</v>
      </c>
      <c r="Y149" s="57"/>
      <c r="Z149" s="50">
        <f t="shared" si="31"/>
        <v>79.933333333333337</v>
      </c>
      <c r="AA149" s="51">
        <f t="shared" si="32"/>
        <v>-2.6688907422852424</v>
      </c>
      <c r="AB149" s="50">
        <f t="shared" si="33"/>
        <v>305053.8</v>
      </c>
    </row>
    <row r="150" spans="1:39" ht="25.5" x14ac:dyDescent="0.25">
      <c r="A150" s="53">
        <v>141</v>
      </c>
      <c r="B150" s="41" t="s">
        <v>213</v>
      </c>
      <c r="C150" s="42" t="s">
        <v>47</v>
      </c>
      <c r="D150" s="44" t="s">
        <v>24</v>
      </c>
      <c r="E150" s="44">
        <v>15</v>
      </c>
      <c r="F150" s="45" t="s">
        <v>49</v>
      </c>
      <c r="G150" s="45" t="s">
        <v>26</v>
      </c>
      <c r="H150" s="46">
        <v>54.11</v>
      </c>
      <c r="I150" s="45" t="s">
        <v>27</v>
      </c>
      <c r="J150" s="47">
        <f t="shared" si="24"/>
        <v>54.11</v>
      </c>
      <c r="K150" s="47">
        <f t="shared" si="25"/>
        <v>811.65</v>
      </c>
      <c r="L150" s="45" t="s">
        <v>50</v>
      </c>
      <c r="M150" s="45" t="s">
        <v>26</v>
      </c>
      <c r="N150" s="46">
        <v>55.5</v>
      </c>
      <c r="O150" s="45" t="s">
        <v>27</v>
      </c>
      <c r="P150" s="47">
        <f t="shared" si="26"/>
        <v>55.5</v>
      </c>
      <c r="Q150" s="47">
        <f t="shared" si="27"/>
        <v>832.5</v>
      </c>
      <c r="R150" s="45" t="s">
        <v>51</v>
      </c>
      <c r="S150" s="45" t="s">
        <v>26</v>
      </c>
      <c r="T150" s="46">
        <f>69.77/1.22</f>
        <v>57.188524590163929</v>
      </c>
      <c r="U150" s="45" t="s">
        <v>27</v>
      </c>
      <c r="V150" s="47">
        <f t="shared" si="28"/>
        <v>57.188524590163929</v>
      </c>
      <c r="W150" s="47">
        <f t="shared" si="29"/>
        <v>857.82786885245889</v>
      </c>
      <c r="X150" s="48">
        <f t="shared" si="30"/>
        <v>54.11</v>
      </c>
      <c r="Y150" s="49"/>
      <c r="Z150" s="50">
        <f t="shared" si="31"/>
        <v>55.59950819672131</v>
      </c>
      <c r="AA150" s="51">
        <f t="shared" si="32"/>
        <v>-2.6789952735753673</v>
      </c>
      <c r="AB150" s="50">
        <f t="shared" si="33"/>
        <v>811.65</v>
      </c>
    </row>
    <row r="151" spans="1:39" ht="25.5" x14ac:dyDescent="0.25">
      <c r="A151" s="40">
        <v>142</v>
      </c>
      <c r="B151" s="41" t="s">
        <v>214</v>
      </c>
      <c r="C151" s="42" t="s">
        <v>47</v>
      </c>
      <c r="D151" s="44" t="s">
        <v>191</v>
      </c>
      <c r="E151" s="44">
        <v>0.56000000000000005</v>
      </c>
      <c r="F151" s="45" t="s">
        <v>49</v>
      </c>
      <c r="G151" s="45" t="s">
        <v>26</v>
      </c>
      <c r="H151" s="46">
        <v>209.82</v>
      </c>
      <c r="I151" s="45" t="s">
        <v>27</v>
      </c>
      <c r="J151" s="47">
        <f t="shared" si="24"/>
        <v>209.82</v>
      </c>
      <c r="K151" s="47">
        <f t="shared" si="25"/>
        <v>117.4992</v>
      </c>
      <c r="L151" s="45" t="s">
        <v>50</v>
      </c>
      <c r="M151" s="45" t="s">
        <v>26</v>
      </c>
      <c r="N151" s="46">
        <v>215</v>
      </c>
      <c r="O151" s="45" t="s">
        <v>27</v>
      </c>
      <c r="P151" s="47">
        <f t="shared" si="26"/>
        <v>215</v>
      </c>
      <c r="Q151" s="47">
        <f t="shared" si="27"/>
        <v>120.4</v>
      </c>
      <c r="R151" s="45" t="s">
        <v>51</v>
      </c>
      <c r="S151" s="45" t="s">
        <v>26</v>
      </c>
      <c r="T151" s="46">
        <f>258.64/1.22</f>
        <v>212</v>
      </c>
      <c r="U151" s="45" t="s">
        <v>27</v>
      </c>
      <c r="V151" s="47">
        <f t="shared" si="28"/>
        <v>212</v>
      </c>
      <c r="W151" s="47">
        <f t="shared" si="29"/>
        <v>118.72000000000001</v>
      </c>
      <c r="X151" s="48">
        <f t="shared" si="30"/>
        <v>209.82</v>
      </c>
      <c r="Y151" s="49"/>
      <c r="Z151" s="50">
        <f t="shared" si="31"/>
        <v>212.27333333333331</v>
      </c>
      <c r="AA151" s="51">
        <f t="shared" si="32"/>
        <v>-1.155742596023984</v>
      </c>
      <c r="AB151" s="50">
        <f t="shared" si="33"/>
        <v>117.4992</v>
      </c>
    </row>
    <row r="152" spans="1:39" ht="25.5" x14ac:dyDescent="0.25">
      <c r="A152" s="40">
        <v>143</v>
      </c>
      <c r="B152" s="41" t="s">
        <v>215</v>
      </c>
      <c r="C152" s="42" t="s">
        <v>47</v>
      </c>
      <c r="D152" s="44" t="s">
        <v>191</v>
      </c>
      <c r="E152" s="44">
        <v>3.01</v>
      </c>
      <c r="F152" s="45" t="s">
        <v>49</v>
      </c>
      <c r="G152" s="45" t="s">
        <v>26</v>
      </c>
      <c r="H152" s="46">
        <v>420.97</v>
      </c>
      <c r="I152" s="45" t="s">
        <v>27</v>
      </c>
      <c r="J152" s="47">
        <f t="shared" si="24"/>
        <v>420.97</v>
      </c>
      <c r="K152" s="47">
        <f t="shared" si="25"/>
        <v>1267.1197</v>
      </c>
      <c r="L152" s="45" t="s">
        <v>50</v>
      </c>
      <c r="M152" s="45" t="s">
        <v>26</v>
      </c>
      <c r="N152" s="46">
        <v>428</v>
      </c>
      <c r="O152" s="45" t="s">
        <v>27</v>
      </c>
      <c r="P152" s="47">
        <f t="shared" si="26"/>
        <v>428</v>
      </c>
      <c r="Q152" s="47">
        <f t="shared" si="27"/>
        <v>1288.28</v>
      </c>
      <c r="R152" s="45" t="s">
        <v>51</v>
      </c>
      <c r="S152" s="45" t="s">
        <v>26</v>
      </c>
      <c r="T152" s="46">
        <f>524.6/1.22</f>
        <v>430</v>
      </c>
      <c r="U152" s="45" t="s">
        <v>27</v>
      </c>
      <c r="V152" s="47">
        <f t="shared" si="28"/>
        <v>430</v>
      </c>
      <c r="W152" s="47">
        <f t="shared" si="29"/>
        <v>1294.3</v>
      </c>
      <c r="X152" s="48">
        <f t="shared" si="30"/>
        <v>420.97</v>
      </c>
      <c r="Y152" s="57"/>
      <c r="Z152" s="50">
        <f t="shared" si="31"/>
        <v>426.32333333333332</v>
      </c>
      <c r="AA152" s="51">
        <f t="shared" si="32"/>
        <v>-1.2556979444396603</v>
      </c>
      <c r="AB152" s="50">
        <f t="shared" si="33"/>
        <v>1267.1197</v>
      </c>
    </row>
    <row r="153" spans="1:39" ht="25.5" x14ac:dyDescent="0.25">
      <c r="A153" s="53">
        <v>144</v>
      </c>
      <c r="B153" s="41" t="s">
        <v>216</v>
      </c>
      <c r="C153" s="42" t="s">
        <v>42</v>
      </c>
      <c r="D153" s="44" t="s">
        <v>71</v>
      </c>
      <c r="E153" s="44">
        <v>6</v>
      </c>
      <c r="F153" s="45" t="s">
        <v>43</v>
      </c>
      <c r="G153" s="45" t="s">
        <v>26</v>
      </c>
      <c r="H153" s="46">
        <f>913.95/1.22</f>
        <v>749.13934426229514</v>
      </c>
      <c r="I153" s="45" t="s">
        <v>27</v>
      </c>
      <c r="J153" s="47">
        <f t="shared" si="24"/>
        <v>749.13934426229514</v>
      </c>
      <c r="K153" s="47">
        <f t="shared" si="25"/>
        <v>4494.8360655737706</v>
      </c>
      <c r="L153" s="45" t="s">
        <v>69</v>
      </c>
      <c r="M153" s="45" t="s">
        <v>26</v>
      </c>
      <c r="N153" s="46">
        <f>1035.51/1.22</f>
        <v>848.77868852459017</v>
      </c>
      <c r="O153" s="45" t="s">
        <v>27</v>
      </c>
      <c r="P153" s="47">
        <f t="shared" si="26"/>
        <v>848.77868852459017</v>
      </c>
      <c r="Q153" s="47">
        <f t="shared" si="27"/>
        <v>5092.6721311475412</v>
      </c>
      <c r="R153" s="45" t="s">
        <v>45</v>
      </c>
      <c r="S153" s="45" t="s">
        <v>26</v>
      </c>
      <c r="T153" s="46">
        <f>1100/1.22</f>
        <v>901.63934426229514</v>
      </c>
      <c r="U153" s="45" t="s">
        <v>27</v>
      </c>
      <c r="V153" s="47">
        <f t="shared" si="28"/>
        <v>901.63934426229514</v>
      </c>
      <c r="W153" s="47">
        <f t="shared" si="29"/>
        <v>5409.8360655737706</v>
      </c>
      <c r="X153" s="48">
        <f t="shared" si="30"/>
        <v>749.13934426229514</v>
      </c>
      <c r="Y153" s="49"/>
      <c r="Z153" s="50">
        <f t="shared" si="31"/>
        <v>833.18579234972685</v>
      </c>
      <c r="AA153" s="51">
        <f t="shared" si="32"/>
        <v>-10.08735972926354</v>
      </c>
      <c r="AB153" s="50">
        <f t="shared" si="33"/>
        <v>4494.8360655737706</v>
      </c>
    </row>
    <row r="154" spans="1:39" ht="27" x14ac:dyDescent="0.25">
      <c r="A154" s="53">
        <v>145</v>
      </c>
      <c r="B154" s="65" t="s">
        <v>217</v>
      </c>
      <c r="C154" s="66" t="s">
        <v>218</v>
      </c>
      <c r="D154" s="67" t="s">
        <v>32</v>
      </c>
      <c r="E154" s="68">
        <v>3</v>
      </c>
      <c r="F154" s="45" t="s">
        <v>219</v>
      </c>
      <c r="G154" s="45" t="s">
        <v>26</v>
      </c>
      <c r="H154" s="46">
        <f>1165/1.22</f>
        <v>954.91803278688531</v>
      </c>
      <c r="I154" s="45" t="s">
        <v>27</v>
      </c>
      <c r="J154" s="47">
        <f t="shared" si="24"/>
        <v>954.91803278688531</v>
      </c>
      <c r="K154" s="47">
        <f t="shared" si="25"/>
        <v>2864.7540983606559</v>
      </c>
      <c r="L154" s="45" t="s">
        <v>220</v>
      </c>
      <c r="M154" s="45" t="s">
        <v>221</v>
      </c>
      <c r="N154" s="46">
        <f>1165/1.22</f>
        <v>954.91803278688531</v>
      </c>
      <c r="O154" s="45" t="s">
        <v>27</v>
      </c>
      <c r="P154" s="47">
        <f t="shared" si="26"/>
        <v>954.91803278688531</v>
      </c>
      <c r="Q154" s="47">
        <f t="shared" si="27"/>
        <v>2864.7540983606559</v>
      </c>
      <c r="R154" s="45" t="s">
        <v>222</v>
      </c>
      <c r="S154" s="45" t="s">
        <v>26</v>
      </c>
      <c r="T154" s="46">
        <f>1165/1.22</f>
        <v>954.91803278688531</v>
      </c>
      <c r="U154" s="45" t="s">
        <v>27</v>
      </c>
      <c r="V154" s="47">
        <f t="shared" si="28"/>
        <v>954.91803278688531</v>
      </c>
      <c r="W154" s="47">
        <f t="shared" si="29"/>
        <v>2864.7540983606559</v>
      </c>
      <c r="X154" s="48">
        <f t="shared" si="30"/>
        <v>954.91803278688531</v>
      </c>
      <c r="Y154" s="49"/>
      <c r="Z154" s="50">
        <f t="shared" si="31"/>
        <v>954.91803278688531</v>
      </c>
      <c r="AA154" s="51">
        <f t="shared" si="32"/>
        <v>0</v>
      </c>
      <c r="AB154" s="50">
        <f t="shared" si="33"/>
        <v>2864.7540983606559</v>
      </c>
    </row>
    <row r="155" spans="1:39" ht="25.5" x14ac:dyDescent="0.25">
      <c r="A155" s="53">
        <v>146</v>
      </c>
      <c r="B155" s="65" t="s">
        <v>223</v>
      </c>
      <c r="C155" s="66" t="s">
        <v>218</v>
      </c>
      <c r="D155" s="67" t="s">
        <v>32</v>
      </c>
      <c r="E155" s="68">
        <v>3</v>
      </c>
      <c r="F155" s="45" t="s">
        <v>219</v>
      </c>
      <c r="G155" s="45" t="s">
        <v>26</v>
      </c>
      <c r="H155" s="46">
        <f>1380/1.22</f>
        <v>1131.1475409836066</v>
      </c>
      <c r="I155" s="45" t="s">
        <v>27</v>
      </c>
      <c r="J155" s="47">
        <f t="shared" si="24"/>
        <v>1131.1475409836066</v>
      </c>
      <c r="K155" s="47">
        <f t="shared" si="25"/>
        <v>3393.4426229508199</v>
      </c>
      <c r="L155" s="45" t="s">
        <v>220</v>
      </c>
      <c r="M155" s="45" t="s">
        <v>221</v>
      </c>
      <c r="N155" s="46">
        <f>1380/1.22</f>
        <v>1131.1475409836066</v>
      </c>
      <c r="O155" s="45" t="s">
        <v>27</v>
      </c>
      <c r="P155" s="47">
        <f t="shared" si="26"/>
        <v>1131.1475409836066</v>
      </c>
      <c r="Q155" s="47">
        <f t="shared" si="27"/>
        <v>3393.4426229508199</v>
      </c>
      <c r="R155" s="45" t="s">
        <v>222</v>
      </c>
      <c r="S155" s="45" t="s">
        <v>26</v>
      </c>
      <c r="T155" s="46">
        <f>1381.25/1.22</f>
        <v>1132.172131147541</v>
      </c>
      <c r="U155" s="45" t="s">
        <v>27</v>
      </c>
      <c r="V155" s="47">
        <f t="shared" si="28"/>
        <v>1132.172131147541</v>
      </c>
      <c r="W155" s="47">
        <f t="shared" si="29"/>
        <v>3396.5163934426228</v>
      </c>
      <c r="X155" s="48">
        <f t="shared" si="30"/>
        <v>1131.1475409836066</v>
      </c>
      <c r="Y155" s="49"/>
      <c r="Z155" s="50">
        <f t="shared" si="31"/>
        <v>1131.4890710382515</v>
      </c>
      <c r="AA155" s="51">
        <f t="shared" si="32"/>
        <v>-3.0184123151229869E-2</v>
      </c>
      <c r="AB155" s="50">
        <f t="shared" si="33"/>
        <v>3393.4426229508199</v>
      </c>
    </row>
    <row r="156" spans="1:39" ht="32.25" customHeight="1" x14ac:dyDescent="0.25">
      <c r="A156" s="53">
        <v>147</v>
      </c>
      <c r="B156" s="65" t="s">
        <v>224</v>
      </c>
      <c r="C156" s="66" t="s">
        <v>225</v>
      </c>
      <c r="D156" s="69" t="s">
        <v>226</v>
      </c>
      <c r="E156" s="70">
        <v>883</v>
      </c>
      <c r="F156" s="45" t="s">
        <v>227</v>
      </c>
      <c r="G156" s="45" t="s">
        <v>26</v>
      </c>
      <c r="H156" s="46">
        <v>161.16</v>
      </c>
      <c r="I156" s="45" t="s">
        <v>27</v>
      </c>
      <c r="J156" s="47">
        <f t="shared" si="24"/>
        <v>161.16</v>
      </c>
      <c r="K156" s="47">
        <f t="shared" si="25"/>
        <v>142304.28</v>
      </c>
      <c r="L156" s="45" t="s">
        <v>228</v>
      </c>
      <c r="M156" s="45" t="s">
        <v>26</v>
      </c>
      <c r="N156" s="46">
        <v>161.16</v>
      </c>
      <c r="O156" s="45" t="s">
        <v>27</v>
      </c>
      <c r="P156" s="47">
        <f t="shared" si="26"/>
        <v>161.16</v>
      </c>
      <c r="Q156" s="47">
        <f t="shared" si="27"/>
        <v>142304.28</v>
      </c>
      <c r="R156" s="45" t="s">
        <v>229</v>
      </c>
      <c r="S156" s="45" t="s">
        <v>26</v>
      </c>
      <c r="T156" s="46">
        <v>161.16</v>
      </c>
      <c r="U156" s="45" t="s">
        <v>27</v>
      </c>
      <c r="V156" s="47">
        <f t="shared" si="28"/>
        <v>161.16</v>
      </c>
      <c r="W156" s="47">
        <f t="shared" si="29"/>
        <v>142304.28</v>
      </c>
      <c r="X156" s="48">
        <f t="shared" si="30"/>
        <v>161.16</v>
      </c>
      <c r="Y156" s="49"/>
      <c r="Z156" s="50">
        <f t="shared" si="31"/>
        <v>161.16</v>
      </c>
      <c r="AA156" s="51">
        <f t="shared" si="32"/>
        <v>0</v>
      </c>
      <c r="AB156" s="50">
        <f t="shared" si="33"/>
        <v>142304.28</v>
      </c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</row>
    <row r="157" spans="1:39" ht="32.25" customHeight="1" x14ac:dyDescent="0.25">
      <c r="A157" s="53">
        <v>148</v>
      </c>
      <c r="B157" s="65" t="s">
        <v>230</v>
      </c>
      <c r="C157" s="66" t="s">
        <v>225</v>
      </c>
      <c r="D157" s="67" t="s">
        <v>231</v>
      </c>
      <c r="E157" s="70">
        <v>111</v>
      </c>
      <c r="F157" s="45" t="s">
        <v>227</v>
      </c>
      <c r="G157" s="45" t="s">
        <v>26</v>
      </c>
      <c r="H157" s="46">
        <v>2959.99</v>
      </c>
      <c r="I157" s="45" t="s">
        <v>27</v>
      </c>
      <c r="J157" s="47">
        <f t="shared" si="24"/>
        <v>2959.99</v>
      </c>
      <c r="K157" s="47">
        <f t="shared" si="25"/>
        <v>328558.88999999996</v>
      </c>
      <c r="L157" s="45" t="s">
        <v>228</v>
      </c>
      <c r="M157" s="45" t="s">
        <v>26</v>
      </c>
      <c r="N157" s="46">
        <v>2959.99</v>
      </c>
      <c r="O157" s="45" t="s">
        <v>27</v>
      </c>
      <c r="P157" s="47">
        <f t="shared" si="26"/>
        <v>2959.99</v>
      </c>
      <c r="Q157" s="47">
        <f t="shared" si="27"/>
        <v>328558.88999999996</v>
      </c>
      <c r="R157" s="45" t="s">
        <v>229</v>
      </c>
      <c r="S157" s="45" t="s">
        <v>26</v>
      </c>
      <c r="T157" s="46">
        <v>2959.99</v>
      </c>
      <c r="U157" s="45" t="s">
        <v>27</v>
      </c>
      <c r="V157" s="47">
        <f t="shared" si="28"/>
        <v>2959.99</v>
      </c>
      <c r="W157" s="47">
        <f t="shared" si="29"/>
        <v>328558.88999999996</v>
      </c>
      <c r="X157" s="48">
        <f t="shared" si="30"/>
        <v>2959.99</v>
      </c>
      <c r="Y157" s="49"/>
      <c r="Z157" s="50">
        <f t="shared" si="31"/>
        <v>2959.99</v>
      </c>
      <c r="AA157" s="51">
        <f t="shared" si="32"/>
        <v>0</v>
      </c>
      <c r="AB157" s="50">
        <f t="shared" si="33"/>
        <v>328558.88999999996</v>
      </c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</row>
    <row r="158" spans="1:39" ht="32.25" customHeight="1" x14ac:dyDescent="0.25">
      <c r="A158" s="53">
        <v>149</v>
      </c>
      <c r="B158" s="71" t="s">
        <v>232</v>
      </c>
      <c r="C158" s="66" t="s">
        <v>225</v>
      </c>
      <c r="D158" s="69" t="s">
        <v>226</v>
      </c>
      <c r="E158" s="72">
        <f>1875*3</f>
        <v>5625</v>
      </c>
      <c r="F158" s="45" t="s">
        <v>227</v>
      </c>
      <c r="G158" s="45" t="s">
        <v>26</v>
      </c>
      <c r="H158" s="46">
        <v>2561.65</v>
      </c>
      <c r="I158" s="45" t="s">
        <v>27</v>
      </c>
      <c r="J158" s="47">
        <f t="shared" si="24"/>
        <v>2561.65</v>
      </c>
      <c r="K158" s="47">
        <f t="shared" si="25"/>
        <v>14409281.25</v>
      </c>
      <c r="L158" s="45" t="s">
        <v>228</v>
      </c>
      <c r="M158" s="45" t="s">
        <v>26</v>
      </c>
      <c r="N158" s="46">
        <v>2561.65</v>
      </c>
      <c r="O158" s="45" t="s">
        <v>27</v>
      </c>
      <c r="P158" s="47">
        <f t="shared" si="26"/>
        <v>2561.65</v>
      </c>
      <c r="Q158" s="47">
        <f t="shared" si="27"/>
        <v>14409281.25</v>
      </c>
      <c r="R158" s="45" t="s">
        <v>229</v>
      </c>
      <c r="S158" s="45" t="s">
        <v>26</v>
      </c>
      <c r="T158" s="46">
        <v>2561.65</v>
      </c>
      <c r="U158" s="45" t="s">
        <v>27</v>
      </c>
      <c r="V158" s="47">
        <f t="shared" si="28"/>
        <v>2561.65</v>
      </c>
      <c r="W158" s="47">
        <f t="shared" si="29"/>
        <v>14409281.25</v>
      </c>
      <c r="X158" s="48">
        <f t="shared" si="30"/>
        <v>2561.65</v>
      </c>
      <c r="Y158" s="49"/>
      <c r="Z158" s="50">
        <f t="shared" si="31"/>
        <v>2561.65</v>
      </c>
      <c r="AA158" s="51">
        <f t="shared" si="32"/>
        <v>0</v>
      </c>
      <c r="AB158" s="50">
        <f t="shared" si="33"/>
        <v>14409281.25</v>
      </c>
    </row>
    <row r="159" spans="1:39" ht="32.25" customHeight="1" x14ac:dyDescent="0.25">
      <c r="A159" s="53">
        <v>150</v>
      </c>
      <c r="B159" s="65" t="s">
        <v>56</v>
      </c>
      <c r="C159" s="66" t="s">
        <v>225</v>
      </c>
      <c r="D159" s="69" t="s">
        <v>226</v>
      </c>
      <c r="E159" s="72">
        <f>1875*3</f>
        <v>5625</v>
      </c>
      <c r="F159" s="45" t="s">
        <v>227</v>
      </c>
      <c r="G159" s="45" t="s">
        <v>26</v>
      </c>
      <c r="H159" s="46">
        <v>1332.19</v>
      </c>
      <c r="I159" s="45" t="s">
        <v>27</v>
      </c>
      <c r="J159" s="47">
        <f t="shared" si="24"/>
        <v>1332.19</v>
      </c>
      <c r="K159" s="47">
        <f t="shared" si="25"/>
        <v>7493568.75</v>
      </c>
      <c r="L159" s="45" t="s">
        <v>228</v>
      </c>
      <c r="M159" s="45" t="s">
        <v>26</v>
      </c>
      <c r="N159" s="46">
        <v>1332.19</v>
      </c>
      <c r="O159" s="45" t="s">
        <v>27</v>
      </c>
      <c r="P159" s="47">
        <f t="shared" si="26"/>
        <v>1332.19</v>
      </c>
      <c r="Q159" s="47">
        <f t="shared" si="27"/>
        <v>7493568.75</v>
      </c>
      <c r="R159" s="45" t="s">
        <v>229</v>
      </c>
      <c r="S159" s="45" t="s">
        <v>26</v>
      </c>
      <c r="T159" s="46">
        <v>1332.19</v>
      </c>
      <c r="U159" s="45" t="s">
        <v>27</v>
      </c>
      <c r="V159" s="47">
        <f t="shared" si="28"/>
        <v>1332.19</v>
      </c>
      <c r="W159" s="47">
        <f t="shared" si="29"/>
        <v>7493568.75</v>
      </c>
      <c r="X159" s="48">
        <f t="shared" si="30"/>
        <v>1332.19</v>
      </c>
      <c r="Y159" s="49"/>
      <c r="Z159" s="50">
        <f t="shared" si="31"/>
        <v>1332.19</v>
      </c>
      <c r="AA159" s="51">
        <f t="shared" si="32"/>
        <v>0</v>
      </c>
      <c r="AB159" s="50">
        <f t="shared" si="33"/>
        <v>7493568.75</v>
      </c>
    </row>
    <row r="160" spans="1:39" ht="32.25" customHeight="1" x14ac:dyDescent="0.25">
      <c r="A160" s="53">
        <v>151</v>
      </c>
      <c r="B160" s="65" t="s">
        <v>233</v>
      </c>
      <c r="C160" s="66" t="s">
        <v>225</v>
      </c>
      <c r="D160" s="67" t="s">
        <v>231</v>
      </c>
      <c r="E160" s="70">
        <v>38</v>
      </c>
      <c r="F160" s="45" t="s">
        <v>227</v>
      </c>
      <c r="G160" s="45" t="s">
        <v>26</v>
      </c>
      <c r="H160" s="46">
        <v>5315.78</v>
      </c>
      <c r="I160" s="45" t="s">
        <v>27</v>
      </c>
      <c r="J160" s="47">
        <f t="shared" si="24"/>
        <v>5315.78</v>
      </c>
      <c r="K160" s="47">
        <f t="shared" si="25"/>
        <v>201999.63999999998</v>
      </c>
      <c r="L160" s="45" t="s">
        <v>228</v>
      </c>
      <c r="M160" s="45" t="s">
        <v>26</v>
      </c>
      <c r="N160" s="46">
        <v>5315.78</v>
      </c>
      <c r="O160" s="45" t="s">
        <v>27</v>
      </c>
      <c r="P160" s="47">
        <f t="shared" si="26"/>
        <v>5315.78</v>
      </c>
      <c r="Q160" s="47">
        <f t="shared" si="27"/>
        <v>201999.63999999998</v>
      </c>
      <c r="R160" s="45" t="s">
        <v>229</v>
      </c>
      <c r="S160" s="45" t="s">
        <v>26</v>
      </c>
      <c r="T160" s="46">
        <v>5315.78</v>
      </c>
      <c r="U160" s="45" t="s">
        <v>27</v>
      </c>
      <c r="V160" s="47">
        <f t="shared" si="28"/>
        <v>5315.78</v>
      </c>
      <c r="W160" s="47">
        <f t="shared" si="29"/>
        <v>201999.63999999998</v>
      </c>
      <c r="X160" s="48">
        <f t="shared" si="30"/>
        <v>5315.78</v>
      </c>
      <c r="Y160" s="49"/>
      <c r="Z160" s="50">
        <f t="shared" si="31"/>
        <v>5315.78</v>
      </c>
      <c r="AA160" s="51">
        <f t="shared" si="32"/>
        <v>0</v>
      </c>
      <c r="AB160" s="50">
        <f t="shared" si="33"/>
        <v>201999.63999999998</v>
      </c>
    </row>
    <row r="161" spans="1:28" ht="32.25" customHeight="1" x14ac:dyDescent="0.25">
      <c r="A161" s="53">
        <v>152</v>
      </c>
      <c r="B161" s="65" t="s">
        <v>57</v>
      </c>
      <c r="C161" s="66" t="s">
        <v>225</v>
      </c>
      <c r="D161" s="67" t="s">
        <v>231</v>
      </c>
      <c r="E161" s="70">
        <v>13</v>
      </c>
      <c r="F161" s="45" t="s">
        <v>227</v>
      </c>
      <c r="G161" s="45" t="s">
        <v>26</v>
      </c>
      <c r="H161" s="46">
        <v>6147.48</v>
      </c>
      <c r="I161" s="45" t="s">
        <v>27</v>
      </c>
      <c r="J161" s="47">
        <f t="shared" si="24"/>
        <v>6147.48</v>
      </c>
      <c r="K161" s="47">
        <f t="shared" si="25"/>
        <v>79917.239999999991</v>
      </c>
      <c r="L161" s="45" t="s">
        <v>228</v>
      </c>
      <c r="M161" s="45" t="s">
        <v>26</v>
      </c>
      <c r="N161" s="46">
        <v>6147.48</v>
      </c>
      <c r="O161" s="45" t="s">
        <v>27</v>
      </c>
      <c r="P161" s="47">
        <f t="shared" si="26"/>
        <v>6147.48</v>
      </c>
      <c r="Q161" s="47">
        <f t="shared" si="27"/>
        <v>79917.239999999991</v>
      </c>
      <c r="R161" s="45" t="s">
        <v>229</v>
      </c>
      <c r="S161" s="45" t="s">
        <v>26</v>
      </c>
      <c r="T161" s="46">
        <v>6147.48</v>
      </c>
      <c r="U161" s="45" t="s">
        <v>27</v>
      </c>
      <c r="V161" s="47">
        <f t="shared" si="28"/>
        <v>6147.48</v>
      </c>
      <c r="W161" s="47">
        <f t="shared" si="29"/>
        <v>79917.239999999991</v>
      </c>
      <c r="X161" s="48">
        <f t="shared" si="30"/>
        <v>6147.48</v>
      </c>
      <c r="Y161" s="49"/>
      <c r="Z161" s="50">
        <f t="shared" si="31"/>
        <v>6147.48</v>
      </c>
      <c r="AA161" s="51">
        <f t="shared" si="32"/>
        <v>0</v>
      </c>
      <c r="AB161" s="50">
        <f t="shared" si="33"/>
        <v>79917.239999999991</v>
      </c>
    </row>
    <row r="162" spans="1:28" ht="32.25" customHeight="1" x14ac:dyDescent="0.25">
      <c r="A162" s="53">
        <v>153</v>
      </c>
      <c r="B162" s="65" t="s">
        <v>234</v>
      </c>
      <c r="C162" s="66" t="s">
        <v>225</v>
      </c>
      <c r="D162" s="69" t="s">
        <v>226</v>
      </c>
      <c r="E162" s="70">
        <f>1865*3</f>
        <v>5595</v>
      </c>
      <c r="F162" s="45" t="s">
        <v>227</v>
      </c>
      <c r="G162" s="45" t="s">
        <v>26</v>
      </c>
      <c r="H162" s="46">
        <v>1164.7</v>
      </c>
      <c r="I162" s="45" t="s">
        <v>27</v>
      </c>
      <c r="J162" s="47">
        <f t="shared" si="24"/>
        <v>1164.7</v>
      </c>
      <c r="K162" s="47">
        <f t="shared" si="25"/>
        <v>6516496.5</v>
      </c>
      <c r="L162" s="45" t="s">
        <v>228</v>
      </c>
      <c r="M162" s="45" t="s">
        <v>26</v>
      </c>
      <c r="N162" s="46">
        <v>1164.7</v>
      </c>
      <c r="O162" s="45" t="s">
        <v>27</v>
      </c>
      <c r="P162" s="47">
        <f t="shared" si="26"/>
        <v>1164.7</v>
      </c>
      <c r="Q162" s="47">
        <f t="shared" si="27"/>
        <v>6516496.5</v>
      </c>
      <c r="R162" s="45" t="s">
        <v>229</v>
      </c>
      <c r="S162" s="45" t="s">
        <v>26</v>
      </c>
      <c r="T162" s="46">
        <v>1164.7</v>
      </c>
      <c r="U162" s="45" t="s">
        <v>27</v>
      </c>
      <c r="V162" s="47">
        <f t="shared" si="28"/>
        <v>1164.7</v>
      </c>
      <c r="W162" s="47">
        <f t="shared" si="29"/>
        <v>6516496.5</v>
      </c>
      <c r="X162" s="48">
        <f t="shared" si="30"/>
        <v>1164.7</v>
      </c>
      <c r="Y162" s="49"/>
      <c r="Z162" s="50">
        <f t="shared" si="31"/>
        <v>1164.7</v>
      </c>
      <c r="AA162" s="51">
        <f t="shared" si="32"/>
        <v>0</v>
      </c>
      <c r="AB162" s="50">
        <f t="shared" si="33"/>
        <v>6516496.5</v>
      </c>
    </row>
    <row r="163" spans="1:28" ht="32.25" customHeight="1" x14ac:dyDescent="0.25">
      <c r="A163" s="53">
        <v>154</v>
      </c>
      <c r="B163" s="65" t="s">
        <v>58</v>
      </c>
      <c r="C163" s="66" t="s">
        <v>225</v>
      </c>
      <c r="D163" s="67" t="s">
        <v>231</v>
      </c>
      <c r="E163" s="70">
        <v>10</v>
      </c>
      <c r="F163" s="45" t="s">
        <v>227</v>
      </c>
      <c r="G163" s="45" t="s">
        <v>26</v>
      </c>
      <c r="H163" s="46">
        <v>5570.18</v>
      </c>
      <c r="I163" s="45" t="s">
        <v>27</v>
      </c>
      <c r="J163" s="47">
        <f t="shared" si="24"/>
        <v>5570.18</v>
      </c>
      <c r="K163" s="47">
        <f t="shared" si="25"/>
        <v>55701.8</v>
      </c>
      <c r="L163" s="45" t="s">
        <v>228</v>
      </c>
      <c r="M163" s="45" t="s">
        <v>26</v>
      </c>
      <c r="N163" s="46">
        <v>5570.18</v>
      </c>
      <c r="O163" s="45" t="s">
        <v>27</v>
      </c>
      <c r="P163" s="47">
        <f t="shared" si="26"/>
        <v>5570.18</v>
      </c>
      <c r="Q163" s="47">
        <f t="shared" si="27"/>
        <v>55701.8</v>
      </c>
      <c r="R163" s="45" t="s">
        <v>229</v>
      </c>
      <c r="S163" s="45" t="s">
        <v>26</v>
      </c>
      <c r="T163" s="46">
        <v>5570.18</v>
      </c>
      <c r="U163" s="45" t="s">
        <v>27</v>
      </c>
      <c r="V163" s="47">
        <f t="shared" si="28"/>
        <v>5570.18</v>
      </c>
      <c r="W163" s="47">
        <f t="shared" si="29"/>
        <v>55701.8</v>
      </c>
      <c r="X163" s="48">
        <f t="shared" si="30"/>
        <v>5570.18</v>
      </c>
      <c r="Y163" s="49"/>
      <c r="Z163" s="50">
        <f t="shared" si="31"/>
        <v>5570.18</v>
      </c>
      <c r="AA163" s="51">
        <f t="shared" si="32"/>
        <v>0</v>
      </c>
      <c r="AB163" s="50">
        <f t="shared" si="33"/>
        <v>55701.8</v>
      </c>
    </row>
    <row r="164" spans="1:28" ht="32.25" customHeight="1" x14ac:dyDescent="0.25">
      <c r="A164" s="53">
        <v>155</v>
      </c>
      <c r="B164" s="65" t="s">
        <v>235</v>
      </c>
      <c r="C164" s="66" t="s">
        <v>225</v>
      </c>
      <c r="D164" s="67" t="s">
        <v>32</v>
      </c>
      <c r="E164" s="70">
        <v>222</v>
      </c>
      <c r="F164" s="45" t="s">
        <v>227</v>
      </c>
      <c r="G164" s="45" t="s">
        <v>26</v>
      </c>
      <c r="H164" s="46">
        <v>553.32000000000005</v>
      </c>
      <c r="I164" s="45" t="s">
        <v>27</v>
      </c>
      <c r="J164" s="47">
        <f t="shared" si="24"/>
        <v>553.32000000000005</v>
      </c>
      <c r="K164" s="47">
        <f t="shared" si="25"/>
        <v>122837.04000000001</v>
      </c>
      <c r="L164" s="45" t="s">
        <v>228</v>
      </c>
      <c r="M164" s="45" t="s">
        <v>26</v>
      </c>
      <c r="N164" s="46">
        <v>553.32000000000005</v>
      </c>
      <c r="O164" s="45" t="s">
        <v>27</v>
      </c>
      <c r="P164" s="47">
        <f t="shared" si="26"/>
        <v>553.32000000000005</v>
      </c>
      <c r="Q164" s="47">
        <f t="shared" si="27"/>
        <v>122837.04000000001</v>
      </c>
      <c r="R164" s="45" t="s">
        <v>229</v>
      </c>
      <c r="S164" s="45" t="s">
        <v>26</v>
      </c>
      <c r="T164" s="46">
        <v>553.32000000000005</v>
      </c>
      <c r="U164" s="45" t="s">
        <v>27</v>
      </c>
      <c r="V164" s="47">
        <f t="shared" si="28"/>
        <v>553.32000000000005</v>
      </c>
      <c r="W164" s="47">
        <f t="shared" si="29"/>
        <v>122837.04000000001</v>
      </c>
      <c r="X164" s="48">
        <f t="shared" si="30"/>
        <v>553.32000000000005</v>
      </c>
      <c r="Y164" s="49"/>
      <c r="Z164" s="50">
        <f t="shared" si="31"/>
        <v>553.32000000000005</v>
      </c>
      <c r="AA164" s="51">
        <f t="shared" si="32"/>
        <v>0</v>
      </c>
      <c r="AB164" s="50">
        <f t="shared" si="33"/>
        <v>122837.04000000001</v>
      </c>
    </row>
    <row r="165" spans="1:28" ht="32.25" customHeight="1" x14ac:dyDescent="0.25">
      <c r="A165" s="53">
        <v>156</v>
      </c>
      <c r="B165" s="65" t="s">
        <v>61</v>
      </c>
      <c r="C165" s="66" t="s">
        <v>225</v>
      </c>
      <c r="D165" s="67" t="s">
        <v>32</v>
      </c>
      <c r="E165" s="70">
        <v>503</v>
      </c>
      <c r="F165" s="45" t="s">
        <v>227</v>
      </c>
      <c r="G165" s="45" t="s">
        <v>26</v>
      </c>
      <c r="H165" s="46">
        <v>117.53</v>
      </c>
      <c r="I165" s="45" t="s">
        <v>27</v>
      </c>
      <c r="J165" s="47">
        <f t="shared" si="24"/>
        <v>117.53</v>
      </c>
      <c r="K165" s="47">
        <f t="shared" si="25"/>
        <v>59117.590000000004</v>
      </c>
      <c r="L165" s="45" t="s">
        <v>228</v>
      </c>
      <c r="M165" s="45" t="s">
        <v>26</v>
      </c>
      <c r="N165" s="46">
        <v>117.53</v>
      </c>
      <c r="O165" s="45" t="s">
        <v>27</v>
      </c>
      <c r="P165" s="47">
        <f t="shared" si="26"/>
        <v>117.53</v>
      </c>
      <c r="Q165" s="47">
        <f t="shared" si="27"/>
        <v>59117.590000000004</v>
      </c>
      <c r="R165" s="45" t="s">
        <v>229</v>
      </c>
      <c r="S165" s="45" t="s">
        <v>26</v>
      </c>
      <c r="T165" s="46">
        <v>117.53</v>
      </c>
      <c r="U165" s="45" t="s">
        <v>27</v>
      </c>
      <c r="V165" s="47">
        <f t="shared" si="28"/>
        <v>117.53</v>
      </c>
      <c r="W165" s="47">
        <f t="shared" si="29"/>
        <v>59117.590000000004</v>
      </c>
      <c r="X165" s="48">
        <f t="shared" si="30"/>
        <v>117.53</v>
      </c>
      <c r="Y165" s="49"/>
      <c r="Z165" s="50">
        <f t="shared" si="31"/>
        <v>117.53000000000002</v>
      </c>
      <c r="AA165" s="51">
        <f t="shared" si="32"/>
        <v>0</v>
      </c>
      <c r="AB165" s="50">
        <f t="shared" si="33"/>
        <v>59117.590000000004</v>
      </c>
    </row>
    <row r="166" spans="1:28" ht="27" x14ac:dyDescent="0.25">
      <c r="A166" s="53">
        <v>157</v>
      </c>
      <c r="B166" s="65" t="s">
        <v>236</v>
      </c>
      <c r="C166" s="66" t="s">
        <v>225</v>
      </c>
      <c r="D166" s="67" t="s">
        <v>231</v>
      </c>
      <c r="E166" s="70">
        <v>38</v>
      </c>
      <c r="F166" s="45" t="s">
        <v>227</v>
      </c>
      <c r="G166" s="45" t="s">
        <v>26</v>
      </c>
      <c r="H166" s="46">
        <v>2298.85</v>
      </c>
      <c r="I166" s="45" t="s">
        <v>27</v>
      </c>
      <c r="J166" s="47">
        <f t="shared" si="24"/>
        <v>2298.85</v>
      </c>
      <c r="K166" s="47">
        <f t="shared" si="25"/>
        <v>87356.3</v>
      </c>
      <c r="L166" s="45" t="s">
        <v>228</v>
      </c>
      <c r="M166" s="45" t="s">
        <v>26</v>
      </c>
      <c r="N166" s="46">
        <v>2298.85</v>
      </c>
      <c r="O166" s="45" t="s">
        <v>27</v>
      </c>
      <c r="P166" s="47">
        <f t="shared" si="26"/>
        <v>2298.85</v>
      </c>
      <c r="Q166" s="47">
        <f t="shared" si="27"/>
        <v>87356.3</v>
      </c>
      <c r="R166" s="45" t="s">
        <v>229</v>
      </c>
      <c r="S166" s="45" t="s">
        <v>26</v>
      </c>
      <c r="T166" s="46">
        <v>2298.85</v>
      </c>
      <c r="U166" s="45" t="s">
        <v>27</v>
      </c>
      <c r="V166" s="47">
        <f t="shared" si="28"/>
        <v>2298.85</v>
      </c>
      <c r="W166" s="47">
        <f t="shared" si="29"/>
        <v>87356.3</v>
      </c>
      <c r="X166" s="48">
        <f t="shared" si="30"/>
        <v>2298.85</v>
      </c>
      <c r="Y166" s="49"/>
      <c r="Z166" s="50">
        <f t="shared" si="31"/>
        <v>2298.85</v>
      </c>
      <c r="AA166" s="51">
        <f t="shared" si="32"/>
        <v>0</v>
      </c>
      <c r="AB166" s="50">
        <f t="shared" si="33"/>
        <v>87356.3</v>
      </c>
    </row>
    <row r="167" spans="1:28" ht="28.5" x14ac:dyDescent="0.25">
      <c r="A167" s="53">
        <v>158</v>
      </c>
      <c r="B167" s="65" t="s">
        <v>237</v>
      </c>
      <c r="C167" s="66" t="s">
        <v>225</v>
      </c>
      <c r="D167" s="67" t="s">
        <v>231</v>
      </c>
      <c r="E167" s="70">
        <v>10</v>
      </c>
      <c r="F167" s="45" t="s">
        <v>227</v>
      </c>
      <c r="G167" s="45" t="s">
        <v>26</v>
      </c>
      <c r="H167" s="46">
        <v>2123.12</v>
      </c>
      <c r="I167" s="45" t="s">
        <v>27</v>
      </c>
      <c r="J167" s="47">
        <f t="shared" si="24"/>
        <v>2123.12</v>
      </c>
      <c r="K167" s="47">
        <f t="shared" si="25"/>
        <v>21231.199999999997</v>
      </c>
      <c r="L167" s="45" t="s">
        <v>228</v>
      </c>
      <c r="M167" s="45" t="s">
        <v>26</v>
      </c>
      <c r="N167" s="46">
        <v>2123.12</v>
      </c>
      <c r="O167" s="45" t="s">
        <v>27</v>
      </c>
      <c r="P167" s="47">
        <f t="shared" si="26"/>
        <v>2123.12</v>
      </c>
      <c r="Q167" s="47">
        <f t="shared" si="27"/>
        <v>21231.199999999997</v>
      </c>
      <c r="R167" s="45" t="s">
        <v>229</v>
      </c>
      <c r="S167" s="45" t="s">
        <v>26</v>
      </c>
      <c r="T167" s="46">
        <v>2123.12</v>
      </c>
      <c r="U167" s="45" t="s">
        <v>27</v>
      </c>
      <c r="V167" s="47">
        <f t="shared" si="28"/>
        <v>2123.12</v>
      </c>
      <c r="W167" s="47">
        <f t="shared" si="29"/>
        <v>21231.199999999997</v>
      </c>
      <c r="X167" s="48">
        <f t="shared" si="30"/>
        <v>2123.12</v>
      </c>
      <c r="Y167" s="73" t="s">
        <v>238</v>
      </c>
      <c r="Z167" s="50">
        <f t="shared" si="31"/>
        <v>2123.12</v>
      </c>
      <c r="AA167" s="51">
        <f t="shared" si="32"/>
        <v>0</v>
      </c>
      <c r="AB167" s="50">
        <f t="shared" si="33"/>
        <v>21231.199999999997</v>
      </c>
    </row>
    <row r="168" spans="1:28" ht="27" x14ac:dyDescent="0.25">
      <c r="A168" s="53">
        <v>159</v>
      </c>
      <c r="B168" s="65" t="s">
        <v>239</v>
      </c>
      <c r="C168" s="66" t="s">
        <v>225</v>
      </c>
      <c r="D168" s="67" t="s">
        <v>231</v>
      </c>
      <c r="E168" s="70">
        <v>13</v>
      </c>
      <c r="F168" s="45" t="s">
        <v>227</v>
      </c>
      <c r="G168" s="45" t="s">
        <v>26</v>
      </c>
      <c r="H168" s="46">
        <v>2522.17</v>
      </c>
      <c r="I168" s="45" t="s">
        <v>27</v>
      </c>
      <c r="J168" s="47">
        <f t="shared" si="24"/>
        <v>2522.17</v>
      </c>
      <c r="K168" s="47">
        <f t="shared" si="25"/>
        <v>32788.21</v>
      </c>
      <c r="L168" s="45" t="s">
        <v>228</v>
      </c>
      <c r="M168" s="45" t="s">
        <v>26</v>
      </c>
      <c r="N168" s="46">
        <v>2522.17</v>
      </c>
      <c r="O168" s="45" t="s">
        <v>27</v>
      </c>
      <c r="P168" s="47">
        <f t="shared" si="26"/>
        <v>2522.17</v>
      </c>
      <c r="Q168" s="47">
        <f t="shared" si="27"/>
        <v>32788.21</v>
      </c>
      <c r="R168" s="45" t="s">
        <v>229</v>
      </c>
      <c r="S168" s="45" t="s">
        <v>26</v>
      </c>
      <c r="T168" s="46">
        <v>2522.17</v>
      </c>
      <c r="U168" s="45" t="s">
        <v>27</v>
      </c>
      <c r="V168" s="47">
        <f t="shared" si="28"/>
        <v>2522.17</v>
      </c>
      <c r="W168" s="47">
        <f t="shared" si="29"/>
        <v>32788.21</v>
      </c>
      <c r="X168" s="48">
        <f t="shared" si="30"/>
        <v>2522.17</v>
      </c>
      <c r="Y168" s="49"/>
      <c r="Z168" s="50">
        <f t="shared" si="31"/>
        <v>2522.17</v>
      </c>
      <c r="AA168" s="51">
        <f t="shared" si="32"/>
        <v>0</v>
      </c>
      <c r="AB168" s="50">
        <f t="shared" si="33"/>
        <v>32788.21</v>
      </c>
    </row>
    <row r="169" spans="1:28" ht="25.5" x14ac:dyDescent="0.25">
      <c r="A169" s="53">
        <v>160</v>
      </c>
      <c r="B169" s="65" t="s">
        <v>240</v>
      </c>
      <c r="C169" s="66" t="s">
        <v>225</v>
      </c>
      <c r="D169" s="67" t="s">
        <v>32</v>
      </c>
      <c r="E169" s="70">
        <v>3730</v>
      </c>
      <c r="F169" s="45" t="s">
        <v>227</v>
      </c>
      <c r="G169" s="45" t="s">
        <v>26</v>
      </c>
      <c r="H169" s="46">
        <v>157.11000000000001</v>
      </c>
      <c r="I169" s="45" t="s">
        <v>27</v>
      </c>
      <c r="J169" s="47">
        <f t="shared" si="24"/>
        <v>157.11000000000001</v>
      </c>
      <c r="K169" s="47">
        <f t="shared" si="25"/>
        <v>586020.30000000005</v>
      </c>
      <c r="L169" s="45" t="s">
        <v>228</v>
      </c>
      <c r="M169" s="45" t="s">
        <v>26</v>
      </c>
      <c r="N169" s="46">
        <v>157.11000000000001</v>
      </c>
      <c r="O169" s="45" t="s">
        <v>27</v>
      </c>
      <c r="P169" s="47">
        <f t="shared" si="26"/>
        <v>157.11000000000001</v>
      </c>
      <c r="Q169" s="47">
        <f t="shared" si="27"/>
        <v>586020.30000000005</v>
      </c>
      <c r="R169" s="45" t="s">
        <v>229</v>
      </c>
      <c r="S169" s="45" t="s">
        <v>26</v>
      </c>
      <c r="T169" s="46">
        <v>157.11000000000001</v>
      </c>
      <c r="U169" s="45" t="s">
        <v>27</v>
      </c>
      <c r="V169" s="47">
        <f t="shared" si="28"/>
        <v>157.11000000000001</v>
      </c>
      <c r="W169" s="47">
        <f t="shared" si="29"/>
        <v>586020.30000000005</v>
      </c>
      <c r="X169" s="48">
        <f t="shared" si="30"/>
        <v>157.11000000000001</v>
      </c>
      <c r="Y169" s="49"/>
      <c r="Z169" s="50">
        <f t="shared" si="31"/>
        <v>157.11000000000001</v>
      </c>
      <c r="AA169" s="51">
        <f t="shared" si="32"/>
        <v>0</v>
      </c>
      <c r="AB169" s="50">
        <f t="shared" si="33"/>
        <v>586020.30000000005</v>
      </c>
    </row>
    <row r="170" spans="1:28" ht="25.5" x14ac:dyDescent="0.25">
      <c r="A170" s="53">
        <v>161</v>
      </c>
      <c r="B170" s="65" t="s">
        <v>241</v>
      </c>
      <c r="C170" s="66" t="s">
        <v>225</v>
      </c>
      <c r="D170" s="67" t="s">
        <v>32</v>
      </c>
      <c r="E170" s="70">
        <v>2300</v>
      </c>
      <c r="F170" s="45" t="s">
        <v>227</v>
      </c>
      <c r="G170" s="45" t="s">
        <v>26</v>
      </c>
      <c r="H170" s="46">
        <v>675.66</v>
      </c>
      <c r="I170" s="45" t="s">
        <v>27</v>
      </c>
      <c r="J170" s="47">
        <f t="shared" ref="J170:J206" si="34">H170</f>
        <v>675.66</v>
      </c>
      <c r="K170" s="47">
        <f t="shared" si="25"/>
        <v>1554018</v>
      </c>
      <c r="L170" s="45" t="s">
        <v>228</v>
      </c>
      <c r="M170" s="45" t="s">
        <v>26</v>
      </c>
      <c r="N170" s="46">
        <v>675.66</v>
      </c>
      <c r="O170" s="45" t="s">
        <v>27</v>
      </c>
      <c r="P170" s="47">
        <f t="shared" ref="P170:P206" si="35">N170</f>
        <v>675.66</v>
      </c>
      <c r="Q170" s="47">
        <f t="shared" si="27"/>
        <v>1554018</v>
      </c>
      <c r="R170" s="45" t="s">
        <v>229</v>
      </c>
      <c r="S170" s="45" t="s">
        <v>26</v>
      </c>
      <c r="T170" s="46">
        <v>675.66</v>
      </c>
      <c r="U170" s="45" t="s">
        <v>27</v>
      </c>
      <c r="V170" s="47">
        <f t="shared" si="28"/>
        <v>675.66</v>
      </c>
      <c r="W170" s="47">
        <f t="shared" si="29"/>
        <v>1554018</v>
      </c>
      <c r="X170" s="48">
        <f t="shared" si="30"/>
        <v>675.66</v>
      </c>
      <c r="Y170" s="49"/>
      <c r="Z170" s="50">
        <f t="shared" si="31"/>
        <v>675.66</v>
      </c>
      <c r="AA170" s="51">
        <f t="shared" si="32"/>
        <v>0</v>
      </c>
      <c r="AB170" s="50">
        <f t="shared" si="33"/>
        <v>1554018</v>
      </c>
    </row>
    <row r="171" spans="1:28" ht="25.5" x14ac:dyDescent="0.25">
      <c r="A171" s="53">
        <v>162</v>
      </c>
      <c r="B171" s="65" t="s">
        <v>242</v>
      </c>
      <c r="C171" s="66" t="s">
        <v>225</v>
      </c>
      <c r="D171" s="67" t="s">
        <v>32</v>
      </c>
      <c r="E171" s="70">
        <v>3</v>
      </c>
      <c r="F171" s="45" t="s">
        <v>227</v>
      </c>
      <c r="G171" s="45" t="s">
        <v>26</v>
      </c>
      <c r="H171" s="46">
        <v>597.01</v>
      </c>
      <c r="I171" s="45" t="s">
        <v>27</v>
      </c>
      <c r="J171" s="47">
        <f t="shared" si="34"/>
        <v>597.01</v>
      </c>
      <c r="K171" s="47">
        <f t="shared" si="25"/>
        <v>1791.03</v>
      </c>
      <c r="L171" s="45" t="s">
        <v>228</v>
      </c>
      <c r="M171" s="45" t="s">
        <v>26</v>
      </c>
      <c r="N171" s="46">
        <v>597.01</v>
      </c>
      <c r="O171" s="45" t="s">
        <v>27</v>
      </c>
      <c r="P171" s="47">
        <f t="shared" si="35"/>
        <v>597.01</v>
      </c>
      <c r="Q171" s="47">
        <f t="shared" si="27"/>
        <v>1791.03</v>
      </c>
      <c r="R171" s="45" t="s">
        <v>229</v>
      </c>
      <c r="S171" s="45" t="s">
        <v>26</v>
      </c>
      <c r="T171" s="46">
        <v>597.01</v>
      </c>
      <c r="U171" s="45" t="s">
        <v>27</v>
      </c>
      <c r="V171" s="47">
        <f t="shared" si="28"/>
        <v>597.01</v>
      </c>
      <c r="W171" s="47">
        <f t="shared" si="29"/>
        <v>1791.03</v>
      </c>
      <c r="X171" s="48">
        <f t="shared" si="30"/>
        <v>597.01</v>
      </c>
      <c r="Y171" s="49"/>
      <c r="Z171" s="50">
        <f t="shared" si="31"/>
        <v>597.01</v>
      </c>
      <c r="AA171" s="51">
        <f t="shared" si="32"/>
        <v>0</v>
      </c>
      <c r="AB171" s="50">
        <f t="shared" si="33"/>
        <v>1791.03</v>
      </c>
    </row>
    <row r="172" spans="1:28" ht="27" x14ac:dyDescent="0.25">
      <c r="A172" s="53">
        <v>163</v>
      </c>
      <c r="B172" s="65" t="s">
        <v>243</v>
      </c>
      <c r="C172" s="66" t="s">
        <v>225</v>
      </c>
      <c r="D172" s="67" t="s">
        <v>32</v>
      </c>
      <c r="E172" s="70">
        <v>45</v>
      </c>
      <c r="F172" s="45" t="s">
        <v>227</v>
      </c>
      <c r="G172" s="45" t="s">
        <v>26</v>
      </c>
      <c r="H172" s="46">
        <v>13237.77</v>
      </c>
      <c r="I172" s="45" t="s">
        <v>27</v>
      </c>
      <c r="J172" s="47">
        <f t="shared" si="34"/>
        <v>13237.77</v>
      </c>
      <c r="K172" s="47">
        <f t="shared" si="25"/>
        <v>595699.65</v>
      </c>
      <c r="L172" s="45" t="s">
        <v>228</v>
      </c>
      <c r="M172" s="45" t="s">
        <v>26</v>
      </c>
      <c r="N172" s="46">
        <v>13237.77</v>
      </c>
      <c r="O172" s="45" t="s">
        <v>27</v>
      </c>
      <c r="P172" s="47">
        <f t="shared" si="35"/>
        <v>13237.77</v>
      </c>
      <c r="Q172" s="47">
        <f t="shared" si="27"/>
        <v>595699.65</v>
      </c>
      <c r="R172" s="45" t="s">
        <v>229</v>
      </c>
      <c r="S172" s="45" t="s">
        <v>26</v>
      </c>
      <c r="T172" s="46">
        <v>13237.77</v>
      </c>
      <c r="U172" s="45" t="s">
        <v>27</v>
      </c>
      <c r="V172" s="47">
        <f t="shared" si="28"/>
        <v>13237.77</v>
      </c>
      <c r="W172" s="47">
        <f t="shared" si="29"/>
        <v>595699.65</v>
      </c>
      <c r="X172" s="48">
        <f t="shared" si="30"/>
        <v>13237.77</v>
      </c>
      <c r="Y172" s="49"/>
      <c r="Z172" s="50">
        <f t="shared" si="31"/>
        <v>13237.769999999999</v>
      </c>
      <c r="AA172" s="51">
        <f t="shared" si="32"/>
        <v>0</v>
      </c>
      <c r="AB172" s="50">
        <f t="shared" si="33"/>
        <v>595699.65</v>
      </c>
    </row>
    <row r="173" spans="1:28" ht="25.5" x14ac:dyDescent="0.25">
      <c r="A173" s="53">
        <v>164</v>
      </c>
      <c r="B173" s="65" t="s">
        <v>244</v>
      </c>
      <c r="C173" s="66" t="s">
        <v>245</v>
      </c>
      <c r="D173" s="67" t="s">
        <v>32</v>
      </c>
      <c r="E173" s="70">
        <v>30</v>
      </c>
      <c r="F173" s="45" t="s">
        <v>246</v>
      </c>
      <c r="G173" s="45" t="s">
        <v>26</v>
      </c>
      <c r="H173" s="46">
        <v>1420.96</v>
      </c>
      <c r="I173" s="45" t="s">
        <v>27</v>
      </c>
      <c r="J173" s="47">
        <f t="shared" si="34"/>
        <v>1420.96</v>
      </c>
      <c r="K173" s="47">
        <f t="shared" si="25"/>
        <v>42628.800000000003</v>
      </c>
      <c r="L173" s="45" t="s">
        <v>247</v>
      </c>
      <c r="M173" s="45" t="s">
        <v>26</v>
      </c>
      <c r="N173" s="46">
        <v>1626</v>
      </c>
      <c r="O173" s="45">
        <v>72</v>
      </c>
      <c r="P173" s="47">
        <f t="shared" si="35"/>
        <v>1626</v>
      </c>
      <c r="Q173" s="47">
        <f t="shared" si="27"/>
        <v>48780</v>
      </c>
      <c r="R173" s="45" t="s">
        <v>248</v>
      </c>
      <c r="S173" s="45" t="s">
        <v>26</v>
      </c>
      <c r="T173" s="46">
        <f>2024.84/1.22</f>
        <v>1659.704918032787</v>
      </c>
      <c r="U173" s="45" t="s">
        <v>27</v>
      </c>
      <c r="V173" s="47">
        <f t="shared" si="28"/>
        <v>1659.704918032787</v>
      </c>
      <c r="W173" s="47">
        <f t="shared" si="29"/>
        <v>49791.147540983606</v>
      </c>
      <c r="X173" s="48">
        <f t="shared" si="30"/>
        <v>1420.96</v>
      </c>
      <c r="Y173" s="49"/>
      <c r="Z173" s="50">
        <f t="shared" si="31"/>
        <v>1568.888306010929</v>
      </c>
      <c r="AA173" s="51">
        <f t="shared" si="32"/>
        <v>-9.4288615348949207</v>
      </c>
      <c r="AB173" s="50">
        <f t="shared" si="33"/>
        <v>42628.800000000003</v>
      </c>
    </row>
    <row r="174" spans="1:28" ht="25.5" x14ac:dyDescent="0.25">
      <c r="A174" s="53">
        <v>165</v>
      </c>
      <c r="B174" s="65" t="s">
        <v>249</v>
      </c>
      <c r="C174" s="66" t="s">
        <v>245</v>
      </c>
      <c r="D174" s="67" t="s">
        <v>32</v>
      </c>
      <c r="E174" s="70">
        <v>120</v>
      </c>
      <c r="F174" s="45" t="s">
        <v>246</v>
      </c>
      <c r="G174" s="45" t="s">
        <v>26</v>
      </c>
      <c r="H174" s="46">
        <v>16.510000000000002</v>
      </c>
      <c r="I174" s="45" t="s">
        <v>27</v>
      </c>
      <c r="J174" s="47">
        <f t="shared" si="34"/>
        <v>16.510000000000002</v>
      </c>
      <c r="K174" s="47">
        <f t="shared" si="25"/>
        <v>1981.2000000000003</v>
      </c>
      <c r="L174" s="45" t="s">
        <v>247</v>
      </c>
      <c r="M174" s="45" t="s">
        <v>26</v>
      </c>
      <c r="N174" s="46">
        <v>20.9</v>
      </c>
      <c r="O174" s="45">
        <v>90</v>
      </c>
      <c r="P174" s="47">
        <f t="shared" si="35"/>
        <v>20.9</v>
      </c>
      <c r="Q174" s="47">
        <f t="shared" si="27"/>
        <v>2508</v>
      </c>
      <c r="R174" s="45" t="s">
        <v>248</v>
      </c>
      <c r="S174" s="45" t="s">
        <v>26</v>
      </c>
      <c r="T174" s="46">
        <f>23.67/1.22</f>
        <v>19.401639344262296</v>
      </c>
      <c r="U174" s="45" t="s">
        <v>27</v>
      </c>
      <c r="V174" s="47">
        <f t="shared" si="28"/>
        <v>19.401639344262296</v>
      </c>
      <c r="W174" s="47">
        <f t="shared" si="29"/>
        <v>2328.1967213114754</v>
      </c>
      <c r="X174" s="48">
        <f t="shared" si="30"/>
        <v>16.510000000000002</v>
      </c>
      <c r="Y174" s="49"/>
      <c r="Z174" s="50">
        <f t="shared" si="31"/>
        <v>18.937213114754098</v>
      </c>
      <c r="AA174" s="51">
        <f t="shared" si="32"/>
        <v>-12.817161110485884</v>
      </c>
      <c r="AB174" s="50">
        <f t="shared" si="33"/>
        <v>1981.2000000000003</v>
      </c>
    </row>
    <row r="175" spans="1:28" ht="25.5" x14ac:dyDescent="0.25">
      <c r="A175" s="53">
        <v>166</v>
      </c>
      <c r="B175" s="65" t="s">
        <v>250</v>
      </c>
      <c r="C175" s="66" t="s">
        <v>225</v>
      </c>
      <c r="D175" s="67" t="s">
        <v>251</v>
      </c>
      <c r="E175" s="70">
        <v>62</v>
      </c>
      <c r="F175" s="45" t="s">
        <v>227</v>
      </c>
      <c r="G175" s="45" t="s">
        <v>26</v>
      </c>
      <c r="H175" s="46">
        <v>14.46</v>
      </c>
      <c r="I175" s="45" t="s">
        <v>27</v>
      </c>
      <c r="J175" s="47">
        <f t="shared" si="34"/>
        <v>14.46</v>
      </c>
      <c r="K175" s="47">
        <f t="shared" si="25"/>
        <v>896.5200000000001</v>
      </c>
      <c r="L175" s="45" t="s">
        <v>228</v>
      </c>
      <c r="M175" s="45" t="s">
        <v>26</v>
      </c>
      <c r="N175" s="46">
        <v>14.46</v>
      </c>
      <c r="O175" s="45" t="s">
        <v>27</v>
      </c>
      <c r="P175" s="47">
        <f t="shared" si="35"/>
        <v>14.46</v>
      </c>
      <c r="Q175" s="47">
        <f t="shared" si="27"/>
        <v>896.5200000000001</v>
      </c>
      <c r="R175" s="45" t="s">
        <v>229</v>
      </c>
      <c r="S175" s="45" t="s">
        <v>26</v>
      </c>
      <c r="T175" s="46">
        <v>14.46</v>
      </c>
      <c r="U175" s="45" t="s">
        <v>27</v>
      </c>
      <c r="V175" s="47">
        <f t="shared" si="28"/>
        <v>14.46</v>
      </c>
      <c r="W175" s="47">
        <f t="shared" si="29"/>
        <v>896.5200000000001</v>
      </c>
      <c r="X175" s="48">
        <f t="shared" si="30"/>
        <v>14.46</v>
      </c>
      <c r="Y175" s="49"/>
      <c r="Z175" s="50">
        <f t="shared" si="31"/>
        <v>14.46</v>
      </c>
      <c r="AA175" s="51">
        <f t="shared" si="32"/>
        <v>0</v>
      </c>
      <c r="AB175" s="50">
        <f t="shared" si="33"/>
        <v>896.5200000000001</v>
      </c>
    </row>
    <row r="176" spans="1:28" ht="25.5" x14ac:dyDescent="0.25">
      <c r="A176" s="53">
        <v>167</v>
      </c>
      <c r="B176" s="65" t="s">
        <v>252</v>
      </c>
      <c r="C176" s="66" t="s">
        <v>225</v>
      </c>
      <c r="D176" s="67" t="s">
        <v>32</v>
      </c>
      <c r="E176" s="70">
        <v>895</v>
      </c>
      <c r="F176" s="45" t="s">
        <v>227</v>
      </c>
      <c r="G176" s="45" t="s">
        <v>26</v>
      </c>
      <c r="H176" s="46">
        <v>9.11</v>
      </c>
      <c r="I176" s="45" t="s">
        <v>27</v>
      </c>
      <c r="J176" s="47">
        <f t="shared" si="34"/>
        <v>9.11</v>
      </c>
      <c r="K176" s="47">
        <f t="shared" si="25"/>
        <v>8153.45</v>
      </c>
      <c r="L176" s="45" t="s">
        <v>228</v>
      </c>
      <c r="M176" s="45" t="s">
        <v>26</v>
      </c>
      <c r="N176" s="46">
        <v>9.11</v>
      </c>
      <c r="O176" s="45" t="s">
        <v>27</v>
      </c>
      <c r="P176" s="47">
        <f t="shared" si="35"/>
        <v>9.11</v>
      </c>
      <c r="Q176" s="47">
        <f t="shared" si="27"/>
        <v>8153.45</v>
      </c>
      <c r="R176" s="45" t="s">
        <v>229</v>
      </c>
      <c r="S176" s="45" t="s">
        <v>26</v>
      </c>
      <c r="T176" s="46">
        <v>9.11</v>
      </c>
      <c r="U176" s="45" t="s">
        <v>27</v>
      </c>
      <c r="V176" s="47">
        <f t="shared" si="28"/>
        <v>9.11</v>
      </c>
      <c r="W176" s="47">
        <f t="shared" si="29"/>
        <v>8153.45</v>
      </c>
      <c r="X176" s="48">
        <f t="shared" si="30"/>
        <v>9.11</v>
      </c>
      <c r="Y176" s="49"/>
      <c r="Z176" s="50">
        <f t="shared" si="31"/>
        <v>9.11</v>
      </c>
      <c r="AA176" s="51">
        <f t="shared" si="32"/>
        <v>0</v>
      </c>
      <c r="AB176" s="50">
        <f t="shared" si="33"/>
        <v>8153.45</v>
      </c>
    </row>
    <row r="177" spans="1:40 16379:16384" ht="25.5" x14ac:dyDescent="0.25">
      <c r="A177" s="53">
        <v>168</v>
      </c>
      <c r="B177" s="65" t="s">
        <v>253</v>
      </c>
      <c r="C177" s="66" t="s">
        <v>225</v>
      </c>
      <c r="D177" s="67" t="s">
        <v>32</v>
      </c>
      <c r="E177" s="70">
        <v>19503</v>
      </c>
      <c r="F177" s="45" t="s">
        <v>227</v>
      </c>
      <c r="G177" s="45" t="s">
        <v>26</v>
      </c>
      <c r="H177" s="46">
        <v>10.9</v>
      </c>
      <c r="I177" s="45" t="s">
        <v>27</v>
      </c>
      <c r="J177" s="47">
        <f t="shared" si="34"/>
        <v>10.9</v>
      </c>
      <c r="K177" s="47">
        <f t="shared" si="25"/>
        <v>212582.7</v>
      </c>
      <c r="L177" s="45" t="s">
        <v>228</v>
      </c>
      <c r="M177" s="45" t="s">
        <v>26</v>
      </c>
      <c r="N177" s="46">
        <v>10.9</v>
      </c>
      <c r="O177" s="45" t="s">
        <v>27</v>
      </c>
      <c r="P177" s="47">
        <f t="shared" si="35"/>
        <v>10.9</v>
      </c>
      <c r="Q177" s="47">
        <f t="shared" si="27"/>
        <v>212582.7</v>
      </c>
      <c r="R177" s="45" t="s">
        <v>229</v>
      </c>
      <c r="S177" s="45" t="s">
        <v>26</v>
      </c>
      <c r="T177" s="46">
        <v>10.9</v>
      </c>
      <c r="U177" s="45" t="s">
        <v>27</v>
      </c>
      <c r="V177" s="47">
        <f t="shared" si="28"/>
        <v>10.9</v>
      </c>
      <c r="W177" s="47">
        <f t="shared" si="29"/>
        <v>212582.7</v>
      </c>
      <c r="X177" s="48">
        <f t="shared" si="30"/>
        <v>10.9</v>
      </c>
      <c r="Y177" s="49"/>
      <c r="Z177" s="50">
        <f t="shared" si="31"/>
        <v>10.9</v>
      </c>
      <c r="AA177" s="51">
        <f t="shared" si="32"/>
        <v>0</v>
      </c>
      <c r="AB177" s="50">
        <f t="shared" si="33"/>
        <v>212582.7</v>
      </c>
    </row>
    <row r="178" spans="1:40 16379:16384" ht="25.5" x14ac:dyDescent="0.25">
      <c r="A178" s="53">
        <v>169</v>
      </c>
      <c r="B178" s="65" t="s">
        <v>254</v>
      </c>
      <c r="C178" s="66" t="s">
        <v>225</v>
      </c>
      <c r="D178" s="67" t="s">
        <v>32</v>
      </c>
      <c r="E178" s="70">
        <v>360</v>
      </c>
      <c r="F178" s="45" t="s">
        <v>227</v>
      </c>
      <c r="G178" s="45" t="s">
        <v>26</v>
      </c>
      <c r="H178" s="46">
        <v>130.77000000000001</v>
      </c>
      <c r="I178" s="45" t="s">
        <v>27</v>
      </c>
      <c r="J178" s="47">
        <f t="shared" si="34"/>
        <v>130.77000000000001</v>
      </c>
      <c r="K178" s="47">
        <f t="shared" si="25"/>
        <v>47077.200000000004</v>
      </c>
      <c r="L178" s="45" t="s">
        <v>228</v>
      </c>
      <c r="M178" s="45" t="s">
        <v>26</v>
      </c>
      <c r="N178" s="46">
        <v>130.77000000000001</v>
      </c>
      <c r="O178" s="45" t="s">
        <v>27</v>
      </c>
      <c r="P178" s="47">
        <f t="shared" si="35"/>
        <v>130.77000000000001</v>
      </c>
      <c r="Q178" s="47">
        <f t="shared" si="27"/>
        <v>47077.200000000004</v>
      </c>
      <c r="R178" s="45" t="s">
        <v>229</v>
      </c>
      <c r="S178" s="45" t="s">
        <v>26</v>
      </c>
      <c r="T178" s="46">
        <v>130.77000000000001</v>
      </c>
      <c r="U178" s="45" t="s">
        <v>27</v>
      </c>
      <c r="V178" s="47">
        <f t="shared" si="28"/>
        <v>130.77000000000001</v>
      </c>
      <c r="W178" s="47">
        <f t="shared" si="29"/>
        <v>47077.200000000004</v>
      </c>
      <c r="X178" s="48">
        <f t="shared" si="30"/>
        <v>130.77000000000001</v>
      </c>
      <c r="Y178" s="49"/>
      <c r="Z178" s="50">
        <f t="shared" si="31"/>
        <v>130.77000000000001</v>
      </c>
      <c r="AA178" s="51">
        <f t="shared" si="32"/>
        <v>0</v>
      </c>
      <c r="AB178" s="50">
        <f t="shared" si="33"/>
        <v>47077.200000000004</v>
      </c>
    </row>
    <row r="179" spans="1:40 16379:16384" ht="25.5" x14ac:dyDescent="0.25">
      <c r="A179" s="53">
        <v>170</v>
      </c>
      <c r="B179" s="65" t="s">
        <v>255</v>
      </c>
      <c r="C179" s="66" t="s">
        <v>225</v>
      </c>
      <c r="D179" s="67" t="s">
        <v>251</v>
      </c>
      <c r="E179" s="70">
        <v>124</v>
      </c>
      <c r="F179" s="45" t="s">
        <v>227</v>
      </c>
      <c r="G179" s="45" t="s">
        <v>26</v>
      </c>
      <c r="H179" s="46">
        <v>8.67</v>
      </c>
      <c r="I179" s="45" t="s">
        <v>27</v>
      </c>
      <c r="J179" s="47">
        <f t="shared" si="34"/>
        <v>8.67</v>
      </c>
      <c r="K179" s="47">
        <f t="shared" si="25"/>
        <v>1075.08</v>
      </c>
      <c r="L179" s="45" t="s">
        <v>228</v>
      </c>
      <c r="M179" s="45" t="s">
        <v>26</v>
      </c>
      <c r="N179" s="46">
        <v>8.67</v>
      </c>
      <c r="O179" s="45" t="s">
        <v>27</v>
      </c>
      <c r="P179" s="47">
        <f t="shared" si="35"/>
        <v>8.67</v>
      </c>
      <c r="Q179" s="47">
        <f t="shared" si="27"/>
        <v>1075.08</v>
      </c>
      <c r="R179" s="45" t="s">
        <v>229</v>
      </c>
      <c r="S179" s="45" t="s">
        <v>26</v>
      </c>
      <c r="T179" s="46">
        <v>8.67</v>
      </c>
      <c r="U179" s="45" t="s">
        <v>27</v>
      </c>
      <c r="V179" s="47">
        <f t="shared" si="28"/>
        <v>8.67</v>
      </c>
      <c r="W179" s="47">
        <f t="shared" si="29"/>
        <v>1075.08</v>
      </c>
      <c r="X179" s="48">
        <f t="shared" si="30"/>
        <v>8.67</v>
      </c>
      <c r="Y179" s="49"/>
      <c r="Z179" s="50">
        <f t="shared" si="31"/>
        <v>8.67</v>
      </c>
      <c r="AA179" s="51">
        <f t="shared" si="32"/>
        <v>0</v>
      </c>
      <c r="AB179" s="50">
        <f t="shared" si="33"/>
        <v>1075.08</v>
      </c>
    </row>
    <row r="180" spans="1:40 16379:16384" ht="25.5" x14ac:dyDescent="0.25">
      <c r="A180" s="53">
        <v>171</v>
      </c>
      <c r="B180" s="65" t="s">
        <v>256</v>
      </c>
      <c r="C180" s="66" t="s">
        <v>225</v>
      </c>
      <c r="D180" s="67" t="s">
        <v>251</v>
      </c>
      <c r="E180" s="70">
        <v>62</v>
      </c>
      <c r="F180" s="45" t="s">
        <v>227</v>
      </c>
      <c r="G180" s="45" t="s">
        <v>26</v>
      </c>
      <c r="H180" s="46">
        <v>7.11</v>
      </c>
      <c r="I180" s="45" t="s">
        <v>27</v>
      </c>
      <c r="J180" s="47">
        <f t="shared" si="34"/>
        <v>7.11</v>
      </c>
      <c r="K180" s="47">
        <f t="shared" si="25"/>
        <v>440.82</v>
      </c>
      <c r="L180" s="45" t="s">
        <v>228</v>
      </c>
      <c r="M180" s="45" t="s">
        <v>26</v>
      </c>
      <c r="N180" s="46">
        <v>7.11</v>
      </c>
      <c r="O180" s="45" t="s">
        <v>27</v>
      </c>
      <c r="P180" s="47">
        <f t="shared" si="35"/>
        <v>7.11</v>
      </c>
      <c r="Q180" s="47">
        <f t="shared" si="27"/>
        <v>440.82</v>
      </c>
      <c r="R180" s="45" t="s">
        <v>229</v>
      </c>
      <c r="S180" s="45" t="s">
        <v>26</v>
      </c>
      <c r="T180" s="46">
        <v>7.11</v>
      </c>
      <c r="U180" s="45" t="s">
        <v>27</v>
      </c>
      <c r="V180" s="47">
        <f t="shared" si="28"/>
        <v>7.11</v>
      </c>
      <c r="W180" s="47">
        <f t="shared" si="29"/>
        <v>440.82</v>
      </c>
      <c r="X180" s="48">
        <f t="shared" si="30"/>
        <v>7.11</v>
      </c>
      <c r="Y180" s="49"/>
      <c r="Z180" s="50">
        <f t="shared" si="31"/>
        <v>7.11</v>
      </c>
      <c r="AA180" s="51">
        <f t="shared" si="32"/>
        <v>0</v>
      </c>
      <c r="AB180" s="50">
        <f t="shared" si="33"/>
        <v>440.82</v>
      </c>
    </row>
    <row r="181" spans="1:40 16379:16384" ht="25.5" x14ac:dyDescent="0.25">
      <c r="A181" s="53">
        <v>172</v>
      </c>
      <c r="B181" s="65" t="s">
        <v>257</v>
      </c>
      <c r="C181" s="66" t="s">
        <v>225</v>
      </c>
      <c r="D181" s="67" t="s">
        <v>32</v>
      </c>
      <c r="E181" s="70">
        <v>360</v>
      </c>
      <c r="F181" s="45" t="s">
        <v>227</v>
      </c>
      <c r="G181" s="45" t="s">
        <v>26</v>
      </c>
      <c r="H181" s="46">
        <v>151.87</v>
      </c>
      <c r="I181" s="45" t="s">
        <v>27</v>
      </c>
      <c r="J181" s="47">
        <f t="shared" si="34"/>
        <v>151.87</v>
      </c>
      <c r="K181" s="47">
        <f t="shared" si="25"/>
        <v>54673.200000000004</v>
      </c>
      <c r="L181" s="45" t="s">
        <v>228</v>
      </c>
      <c r="M181" s="45" t="s">
        <v>26</v>
      </c>
      <c r="N181" s="46">
        <v>151.87</v>
      </c>
      <c r="O181" s="45" t="s">
        <v>27</v>
      </c>
      <c r="P181" s="47">
        <f t="shared" si="35"/>
        <v>151.87</v>
      </c>
      <c r="Q181" s="47">
        <f t="shared" si="27"/>
        <v>54673.200000000004</v>
      </c>
      <c r="R181" s="45" t="s">
        <v>229</v>
      </c>
      <c r="S181" s="45" t="s">
        <v>26</v>
      </c>
      <c r="T181" s="46">
        <v>151.87</v>
      </c>
      <c r="U181" s="45" t="s">
        <v>27</v>
      </c>
      <c r="V181" s="47">
        <f t="shared" si="28"/>
        <v>151.87</v>
      </c>
      <c r="W181" s="47">
        <f t="shared" si="29"/>
        <v>54673.200000000004</v>
      </c>
      <c r="X181" s="48">
        <f t="shared" si="30"/>
        <v>151.87</v>
      </c>
      <c r="Y181" s="49"/>
      <c r="Z181" s="50">
        <f t="shared" si="31"/>
        <v>151.87</v>
      </c>
      <c r="AA181" s="51">
        <f t="shared" si="32"/>
        <v>0</v>
      </c>
      <c r="AB181" s="50">
        <f t="shared" si="33"/>
        <v>54673.200000000004</v>
      </c>
    </row>
    <row r="182" spans="1:40 16379:16384" ht="16.5" customHeight="1" x14ac:dyDescent="0.25">
      <c r="A182" s="53">
        <v>173</v>
      </c>
      <c r="B182" s="65" t="s">
        <v>258</v>
      </c>
      <c r="C182" s="66" t="s">
        <v>225</v>
      </c>
      <c r="D182" s="67" t="s">
        <v>32</v>
      </c>
      <c r="E182" s="70">
        <v>8</v>
      </c>
      <c r="F182" s="45" t="s">
        <v>227</v>
      </c>
      <c r="G182" s="45" t="s">
        <v>26</v>
      </c>
      <c r="H182" s="46">
        <v>2.72</v>
      </c>
      <c r="I182" s="45" t="s">
        <v>27</v>
      </c>
      <c r="J182" s="47">
        <f t="shared" si="34"/>
        <v>2.72</v>
      </c>
      <c r="K182" s="47">
        <f t="shared" si="25"/>
        <v>21.76</v>
      </c>
      <c r="L182" s="45" t="s">
        <v>228</v>
      </c>
      <c r="M182" s="45" t="s">
        <v>26</v>
      </c>
      <c r="N182" s="46">
        <v>2.72</v>
      </c>
      <c r="O182" s="45" t="s">
        <v>27</v>
      </c>
      <c r="P182" s="47">
        <f t="shared" si="35"/>
        <v>2.72</v>
      </c>
      <c r="Q182" s="47">
        <f t="shared" si="27"/>
        <v>21.76</v>
      </c>
      <c r="R182" s="45" t="s">
        <v>229</v>
      </c>
      <c r="S182" s="45" t="s">
        <v>26</v>
      </c>
      <c r="T182" s="46">
        <v>2.72</v>
      </c>
      <c r="U182" s="45" t="s">
        <v>27</v>
      </c>
      <c r="V182" s="47">
        <f t="shared" si="28"/>
        <v>2.72</v>
      </c>
      <c r="W182" s="47">
        <f t="shared" si="29"/>
        <v>21.76</v>
      </c>
      <c r="X182" s="48">
        <f t="shared" si="30"/>
        <v>2.72</v>
      </c>
      <c r="Y182" s="49"/>
      <c r="Z182" s="50">
        <f t="shared" si="31"/>
        <v>2.72</v>
      </c>
      <c r="AA182" s="51">
        <f t="shared" si="32"/>
        <v>0</v>
      </c>
      <c r="AB182" s="50">
        <f t="shared" si="33"/>
        <v>21.76</v>
      </c>
    </row>
    <row r="183" spans="1:40 16379:16384" ht="25.5" x14ac:dyDescent="0.25">
      <c r="A183" s="53">
        <v>174</v>
      </c>
      <c r="B183" s="65" t="s">
        <v>259</v>
      </c>
      <c r="C183" s="66" t="s">
        <v>225</v>
      </c>
      <c r="D183" s="67" t="s">
        <v>32</v>
      </c>
      <c r="E183" s="70">
        <v>388</v>
      </c>
      <c r="F183" s="45" t="s">
        <v>227</v>
      </c>
      <c r="G183" s="45" t="s">
        <v>26</v>
      </c>
      <c r="H183" s="46">
        <v>205.13</v>
      </c>
      <c r="I183" s="45" t="s">
        <v>27</v>
      </c>
      <c r="J183" s="47">
        <f t="shared" si="34"/>
        <v>205.13</v>
      </c>
      <c r="K183" s="47">
        <f t="shared" si="25"/>
        <v>79590.44</v>
      </c>
      <c r="L183" s="45" t="s">
        <v>228</v>
      </c>
      <c r="M183" s="45" t="s">
        <v>26</v>
      </c>
      <c r="N183" s="46">
        <v>205.13</v>
      </c>
      <c r="O183" s="45" t="s">
        <v>27</v>
      </c>
      <c r="P183" s="47">
        <f t="shared" si="35"/>
        <v>205.13</v>
      </c>
      <c r="Q183" s="47">
        <f t="shared" si="27"/>
        <v>79590.44</v>
      </c>
      <c r="R183" s="45" t="s">
        <v>229</v>
      </c>
      <c r="S183" s="45" t="s">
        <v>26</v>
      </c>
      <c r="T183" s="46">
        <v>205.13</v>
      </c>
      <c r="U183" s="45" t="s">
        <v>27</v>
      </c>
      <c r="V183" s="47">
        <f t="shared" si="28"/>
        <v>205.13</v>
      </c>
      <c r="W183" s="47">
        <f t="shared" si="29"/>
        <v>79590.44</v>
      </c>
      <c r="X183" s="48">
        <f t="shared" si="30"/>
        <v>205.13</v>
      </c>
      <c r="Y183" s="49"/>
      <c r="Z183" s="50">
        <f t="shared" si="31"/>
        <v>205.13</v>
      </c>
      <c r="AA183" s="51">
        <f t="shared" si="32"/>
        <v>0</v>
      </c>
      <c r="AB183" s="50">
        <f t="shared" si="33"/>
        <v>79590.44</v>
      </c>
    </row>
    <row r="184" spans="1:40 16379:16384" ht="25.5" x14ac:dyDescent="0.25">
      <c r="A184" s="53">
        <v>175</v>
      </c>
      <c r="B184" s="65" t="s">
        <v>260</v>
      </c>
      <c r="C184" s="66" t="s">
        <v>245</v>
      </c>
      <c r="D184" s="67" t="s">
        <v>191</v>
      </c>
      <c r="E184" s="70">
        <v>246.84</v>
      </c>
      <c r="F184" s="45" t="s">
        <v>261</v>
      </c>
      <c r="G184" s="45" t="s">
        <v>26</v>
      </c>
      <c r="H184" s="46">
        <f>1145/1.22/0.85</f>
        <v>1104.1465766634524</v>
      </c>
      <c r="I184" s="45" t="s">
        <v>27</v>
      </c>
      <c r="J184" s="47">
        <f t="shared" si="34"/>
        <v>1104.1465766634524</v>
      </c>
      <c r="K184" s="47">
        <f t="shared" si="25"/>
        <v>272547.5409836066</v>
      </c>
      <c r="L184" s="45" t="s">
        <v>247</v>
      </c>
      <c r="M184" s="45" t="s">
        <v>26</v>
      </c>
      <c r="N184" s="46">
        <v>1520</v>
      </c>
      <c r="O184" s="45" t="s">
        <v>27</v>
      </c>
      <c r="P184" s="47">
        <f t="shared" si="35"/>
        <v>1520</v>
      </c>
      <c r="Q184" s="47">
        <f t="shared" si="27"/>
        <v>375196.8</v>
      </c>
      <c r="R184" s="45" t="s">
        <v>248</v>
      </c>
      <c r="S184" s="45" t="s">
        <v>26</v>
      </c>
      <c r="T184" s="46">
        <f>1547.29/1.22</f>
        <v>1268.2704918032787</v>
      </c>
      <c r="U184" s="45" t="s">
        <v>27</v>
      </c>
      <c r="V184" s="47">
        <f t="shared" si="28"/>
        <v>1268.2704918032787</v>
      </c>
      <c r="W184" s="47">
        <f t="shared" si="29"/>
        <v>313059.88819672132</v>
      </c>
      <c r="X184" s="48">
        <f t="shared" si="30"/>
        <v>1104.1465766634524</v>
      </c>
      <c r="Y184" s="49"/>
      <c r="Z184" s="50">
        <f t="shared" si="31"/>
        <v>1297.472356155577</v>
      </c>
      <c r="AA184" s="51">
        <f t="shared" si="32"/>
        <v>-14.90018485364503</v>
      </c>
      <c r="AB184" s="50">
        <f t="shared" si="33"/>
        <v>272547.5409836066</v>
      </c>
    </row>
    <row r="185" spans="1:40 16379:16384" ht="25.5" x14ac:dyDescent="0.25">
      <c r="A185" s="53">
        <v>176</v>
      </c>
      <c r="B185" s="65" t="s">
        <v>262</v>
      </c>
      <c r="C185" s="66" t="s">
        <v>225</v>
      </c>
      <c r="D185" s="67" t="s">
        <v>32</v>
      </c>
      <c r="E185" s="70">
        <v>366</v>
      </c>
      <c r="F185" s="45" t="s">
        <v>227</v>
      </c>
      <c r="G185" s="45" t="s">
        <v>26</v>
      </c>
      <c r="H185" s="46">
        <v>3156.68</v>
      </c>
      <c r="I185" s="45" t="s">
        <v>27</v>
      </c>
      <c r="J185" s="47">
        <f t="shared" si="34"/>
        <v>3156.68</v>
      </c>
      <c r="K185" s="47">
        <f t="shared" si="25"/>
        <v>1155344.8799999999</v>
      </c>
      <c r="L185" s="45" t="s">
        <v>228</v>
      </c>
      <c r="M185" s="45" t="s">
        <v>26</v>
      </c>
      <c r="N185" s="46">
        <v>3156.68</v>
      </c>
      <c r="O185" s="45" t="s">
        <v>27</v>
      </c>
      <c r="P185" s="47">
        <f t="shared" si="35"/>
        <v>3156.68</v>
      </c>
      <c r="Q185" s="47">
        <f t="shared" si="27"/>
        <v>1155344.8799999999</v>
      </c>
      <c r="R185" s="45" t="s">
        <v>229</v>
      </c>
      <c r="S185" s="45" t="s">
        <v>26</v>
      </c>
      <c r="T185" s="46">
        <v>3156.68</v>
      </c>
      <c r="U185" s="45" t="s">
        <v>27</v>
      </c>
      <c r="V185" s="47">
        <f t="shared" si="28"/>
        <v>3156.68</v>
      </c>
      <c r="W185" s="47">
        <f t="shared" si="29"/>
        <v>1155344.8799999999</v>
      </c>
      <c r="X185" s="48">
        <f t="shared" si="30"/>
        <v>3156.68</v>
      </c>
      <c r="Y185" s="49"/>
      <c r="Z185" s="50">
        <f t="shared" si="31"/>
        <v>3156.68</v>
      </c>
      <c r="AA185" s="51">
        <f t="shared" si="32"/>
        <v>0</v>
      </c>
      <c r="AB185" s="50">
        <f t="shared" si="33"/>
        <v>1155344.8799999999</v>
      </c>
    </row>
    <row r="186" spans="1:40 16379:16384" ht="25.5" x14ac:dyDescent="0.25">
      <c r="A186" s="53">
        <v>177</v>
      </c>
      <c r="B186" s="65" t="s">
        <v>263</v>
      </c>
      <c r="C186" s="66" t="s">
        <v>225</v>
      </c>
      <c r="D186" s="67" t="s">
        <v>32</v>
      </c>
      <c r="E186" s="70">
        <v>4616</v>
      </c>
      <c r="F186" s="45" t="s">
        <v>227</v>
      </c>
      <c r="G186" s="45" t="s">
        <v>26</v>
      </c>
      <c r="H186" s="46">
        <v>224.61</v>
      </c>
      <c r="I186" s="45" t="s">
        <v>27</v>
      </c>
      <c r="J186" s="47">
        <f t="shared" si="34"/>
        <v>224.61</v>
      </c>
      <c r="K186" s="47">
        <f t="shared" si="25"/>
        <v>1036799.76</v>
      </c>
      <c r="L186" s="45" t="s">
        <v>228</v>
      </c>
      <c r="M186" s="45" t="s">
        <v>26</v>
      </c>
      <c r="N186" s="46">
        <v>224.61</v>
      </c>
      <c r="O186" s="45" t="s">
        <v>27</v>
      </c>
      <c r="P186" s="47">
        <f t="shared" si="35"/>
        <v>224.61</v>
      </c>
      <c r="Q186" s="47">
        <f t="shared" si="27"/>
        <v>1036799.76</v>
      </c>
      <c r="R186" s="45" t="s">
        <v>229</v>
      </c>
      <c r="S186" s="45" t="s">
        <v>26</v>
      </c>
      <c r="T186" s="46">
        <v>224.61</v>
      </c>
      <c r="U186" s="45" t="s">
        <v>27</v>
      </c>
      <c r="V186" s="47">
        <f t="shared" si="28"/>
        <v>224.61</v>
      </c>
      <c r="W186" s="47">
        <f t="shared" si="29"/>
        <v>1036799.76</v>
      </c>
      <c r="X186" s="48">
        <f t="shared" si="30"/>
        <v>224.61</v>
      </c>
      <c r="Y186" s="49"/>
      <c r="Z186" s="50">
        <f t="shared" si="31"/>
        <v>224.61</v>
      </c>
      <c r="AA186" s="51">
        <f t="shared" si="32"/>
        <v>0</v>
      </c>
      <c r="AB186" s="50">
        <f t="shared" si="33"/>
        <v>1036799.76</v>
      </c>
    </row>
    <row r="187" spans="1:40 16379:16384" s="74" customFormat="1" ht="25.5" x14ac:dyDescent="0.25">
      <c r="A187" s="53">
        <v>178</v>
      </c>
      <c r="B187" s="65" t="s">
        <v>264</v>
      </c>
      <c r="C187" s="66" t="s">
        <v>225</v>
      </c>
      <c r="D187" s="67" t="s">
        <v>32</v>
      </c>
      <c r="E187" s="70">
        <v>15</v>
      </c>
      <c r="F187" s="45" t="s">
        <v>227</v>
      </c>
      <c r="G187" s="45" t="s">
        <v>26</v>
      </c>
      <c r="H187" s="46">
        <v>8615.15</v>
      </c>
      <c r="I187" s="45" t="s">
        <v>27</v>
      </c>
      <c r="J187" s="47">
        <f t="shared" si="34"/>
        <v>8615.15</v>
      </c>
      <c r="K187" s="47">
        <f t="shared" si="25"/>
        <v>129227.25</v>
      </c>
      <c r="L187" s="45" t="s">
        <v>228</v>
      </c>
      <c r="M187" s="45" t="s">
        <v>26</v>
      </c>
      <c r="N187" s="46">
        <v>8615.15</v>
      </c>
      <c r="O187" s="45" t="s">
        <v>27</v>
      </c>
      <c r="P187" s="47">
        <f t="shared" si="35"/>
        <v>8615.15</v>
      </c>
      <c r="Q187" s="47">
        <f t="shared" si="27"/>
        <v>129227.25</v>
      </c>
      <c r="R187" s="45" t="s">
        <v>229</v>
      </c>
      <c r="S187" s="45" t="s">
        <v>26</v>
      </c>
      <c r="T187" s="46">
        <v>8615.15</v>
      </c>
      <c r="U187" s="45" t="s">
        <v>27</v>
      </c>
      <c r="V187" s="47">
        <f t="shared" si="28"/>
        <v>8615.15</v>
      </c>
      <c r="W187" s="47">
        <f t="shared" si="29"/>
        <v>129227.25</v>
      </c>
      <c r="X187" s="48">
        <f t="shared" si="30"/>
        <v>8615.15</v>
      </c>
      <c r="Y187" s="49"/>
      <c r="Z187" s="50">
        <f t="shared" si="31"/>
        <v>8615.15</v>
      </c>
      <c r="AA187" s="51">
        <f t="shared" si="32"/>
        <v>0</v>
      </c>
      <c r="AB187" s="50">
        <f t="shared" si="33"/>
        <v>129227.25</v>
      </c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XEY187"/>
      <c r="XEZ187"/>
      <c r="XFA187"/>
      <c r="XFB187"/>
      <c r="XFC187" s="13"/>
      <c r="XFD187" s="13"/>
    </row>
    <row r="188" spans="1:40 16379:16384" s="74" customFormat="1" ht="25.5" x14ac:dyDescent="0.25">
      <c r="A188" s="53">
        <v>179</v>
      </c>
      <c r="B188" s="65" t="s">
        <v>265</v>
      </c>
      <c r="C188" s="66" t="s">
        <v>225</v>
      </c>
      <c r="D188" s="67" t="s">
        <v>32</v>
      </c>
      <c r="E188" s="70">
        <v>8</v>
      </c>
      <c r="F188" s="45" t="s">
        <v>227</v>
      </c>
      <c r="G188" s="45" t="s">
        <v>26</v>
      </c>
      <c r="H188" s="46">
        <v>707.13</v>
      </c>
      <c r="I188" s="45" t="s">
        <v>27</v>
      </c>
      <c r="J188" s="47">
        <f t="shared" si="34"/>
        <v>707.13</v>
      </c>
      <c r="K188" s="47">
        <f t="shared" si="25"/>
        <v>5657.04</v>
      </c>
      <c r="L188" s="45" t="s">
        <v>228</v>
      </c>
      <c r="M188" s="45" t="s">
        <v>26</v>
      </c>
      <c r="N188" s="46">
        <v>707.13</v>
      </c>
      <c r="O188" s="45" t="s">
        <v>27</v>
      </c>
      <c r="P188" s="47">
        <f t="shared" si="35"/>
        <v>707.13</v>
      </c>
      <c r="Q188" s="47">
        <f t="shared" si="27"/>
        <v>5657.04</v>
      </c>
      <c r="R188" s="45" t="s">
        <v>229</v>
      </c>
      <c r="S188" s="45" t="s">
        <v>26</v>
      </c>
      <c r="T188" s="46">
        <v>707.13</v>
      </c>
      <c r="U188" s="45" t="s">
        <v>27</v>
      </c>
      <c r="V188" s="47">
        <f t="shared" si="28"/>
        <v>707.13</v>
      </c>
      <c r="W188" s="47">
        <f t="shared" si="29"/>
        <v>5657.04</v>
      </c>
      <c r="X188" s="48">
        <f t="shared" si="30"/>
        <v>707.13</v>
      </c>
      <c r="Y188" s="49"/>
      <c r="Z188" s="50">
        <f t="shared" si="31"/>
        <v>707.13</v>
      </c>
      <c r="AA188" s="51">
        <f t="shared" si="32"/>
        <v>0</v>
      </c>
      <c r="AB188" s="50">
        <f t="shared" si="33"/>
        <v>5657.04</v>
      </c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XEY188"/>
      <c r="XEZ188"/>
      <c r="XFA188"/>
      <c r="XFB188"/>
      <c r="XFC188" s="13"/>
      <c r="XFD188" s="13"/>
    </row>
    <row r="189" spans="1:40 16379:16384" s="74" customFormat="1" ht="25.5" x14ac:dyDescent="0.25">
      <c r="A189" s="53">
        <v>180</v>
      </c>
      <c r="B189" s="65" t="s">
        <v>266</v>
      </c>
      <c r="C189" s="66" t="s">
        <v>225</v>
      </c>
      <c r="D189" s="67" t="s">
        <v>32</v>
      </c>
      <c r="E189" s="70">
        <v>8</v>
      </c>
      <c r="F189" s="45" t="s">
        <v>227</v>
      </c>
      <c r="G189" s="45" t="s">
        <v>26</v>
      </c>
      <c r="H189" s="46">
        <v>377.84</v>
      </c>
      <c r="I189" s="45" t="s">
        <v>27</v>
      </c>
      <c r="J189" s="47">
        <f t="shared" si="34"/>
        <v>377.84</v>
      </c>
      <c r="K189" s="47">
        <f t="shared" si="25"/>
        <v>3022.72</v>
      </c>
      <c r="L189" s="45" t="s">
        <v>228</v>
      </c>
      <c r="M189" s="45" t="s">
        <v>26</v>
      </c>
      <c r="N189" s="46">
        <v>377.84</v>
      </c>
      <c r="O189" s="45" t="s">
        <v>27</v>
      </c>
      <c r="P189" s="47">
        <f t="shared" si="35"/>
        <v>377.84</v>
      </c>
      <c r="Q189" s="47">
        <f t="shared" si="27"/>
        <v>3022.72</v>
      </c>
      <c r="R189" s="45" t="s">
        <v>229</v>
      </c>
      <c r="S189" s="45" t="s">
        <v>26</v>
      </c>
      <c r="T189" s="46">
        <v>377.84</v>
      </c>
      <c r="U189" s="45" t="s">
        <v>27</v>
      </c>
      <c r="V189" s="47">
        <f t="shared" si="28"/>
        <v>377.84</v>
      </c>
      <c r="W189" s="47">
        <f t="shared" si="29"/>
        <v>3022.72</v>
      </c>
      <c r="X189" s="48">
        <f t="shared" si="30"/>
        <v>377.84</v>
      </c>
      <c r="Y189" s="49"/>
      <c r="Z189" s="50">
        <f t="shared" si="31"/>
        <v>377.84</v>
      </c>
      <c r="AA189" s="51">
        <f t="shared" si="32"/>
        <v>0</v>
      </c>
      <c r="AB189" s="50">
        <f t="shared" si="33"/>
        <v>3022.72</v>
      </c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XEY189"/>
      <c r="XEZ189"/>
      <c r="XFA189"/>
      <c r="XFB189"/>
      <c r="XFC189" s="13"/>
      <c r="XFD189" s="13"/>
    </row>
    <row r="190" spans="1:40 16379:16384" ht="25.5" x14ac:dyDescent="0.25">
      <c r="A190" s="53">
        <v>181</v>
      </c>
      <c r="B190" s="65" t="s">
        <v>267</v>
      </c>
      <c r="C190" s="66" t="s">
        <v>225</v>
      </c>
      <c r="D190" s="69" t="s">
        <v>226</v>
      </c>
      <c r="E190" s="70">
        <f>2*3</f>
        <v>6</v>
      </c>
      <c r="F190" s="45" t="s">
        <v>227</v>
      </c>
      <c r="G190" s="45" t="s">
        <v>26</v>
      </c>
      <c r="H190" s="46">
        <v>3665.28</v>
      </c>
      <c r="I190" s="45" t="s">
        <v>27</v>
      </c>
      <c r="J190" s="47">
        <f t="shared" si="34"/>
        <v>3665.28</v>
      </c>
      <c r="K190" s="47">
        <f t="shared" si="25"/>
        <v>21991.68</v>
      </c>
      <c r="L190" s="45" t="s">
        <v>228</v>
      </c>
      <c r="M190" s="45" t="s">
        <v>26</v>
      </c>
      <c r="N190" s="46">
        <v>3665.28</v>
      </c>
      <c r="O190" s="45" t="s">
        <v>27</v>
      </c>
      <c r="P190" s="47">
        <f t="shared" si="35"/>
        <v>3665.28</v>
      </c>
      <c r="Q190" s="47">
        <f t="shared" si="27"/>
        <v>21991.68</v>
      </c>
      <c r="R190" s="45" t="s">
        <v>229</v>
      </c>
      <c r="S190" s="45" t="s">
        <v>26</v>
      </c>
      <c r="T190" s="46">
        <v>3665.28</v>
      </c>
      <c r="U190" s="45" t="s">
        <v>27</v>
      </c>
      <c r="V190" s="47">
        <f t="shared" si="28"/>
        <v>3665.28</v>
      </c>
      <c r="W190" s="47">
        <f t="shared" si="29"/>
        <v>21991.68</v>
      </c>
      <c r="X190" s="48">
        <f t="shared" si="30"/>
        <v>3665.28</v>
      </c>
      <c r="Y190" s="49"/>
      <c r="Z190" s="50">
        <f t="shared" si="31"/>
        <v>3665.28</v>
      </c>
      <c r="AA190" s="51">
        <f t="shared" si="32"/>
        <v>0</v>
      </c>
      <c r="AB190" s="50">
        <f t="shared" si="33"/>
        <v>21991.68</v>
      </c>
    </row>
    <row r="191" spans="1:40 16379:16384" ht="27" x14ac:dyDescent="0.25">
      <c r="A191" s="53">
        <v>182</v>
      </c>
      <c r="B191" s="65" t="s">
        <v>268</v>
      </c>
      <c r="C191" s="66" t="s">
        <v>225</v>
      </c>
      <c r="D191" s="69" t="s">
        <v>226</v>
      </c>
      <c r="E191" s="70">
        <f>2*3</f>
        <v>6</v>
      </c>
      <c r="F191" s="45" t="s">
        <v>227</v>
      </c>
      <c r="G191" s="45" t="s">
        <v>26</v>
      </c>
      <c r="H191" s="46">
        <v>10261.799999999999</v>
      </c>
      <c r="I191" s="45" t="s">
        <v>27</v>
      </c>
      <c r="J191" s="47">
        <f t="shared" si="34"/>
        <v>10261.799999999999</v>
      </c>
      <c r="K191" s="47">
        <f t="shared" si="25"/>
        <v>61570.799999999996</v>
      </c>
      <c r="L191" s="45" t="s">
        <v>228</v>
      </c>
      <c r="M191" s="45" t="s">
        <v>26</v>
      </c>
      <c r="N191" s="46">
        <v>10261.799999999999</v>
      </c>
      <c r="O191" s="45" t="s">
        <v>27</v>
      </c>
      <c r="P191" s="47">
        <f t="shared" si="35"/>
        <v>10261.799999999999</v>
      </c>
      <c r="Q191" s="47">
        <f t="shared" si="27"/>
        <v>61570.799999999996</v>
      </c>
      <c r="R191" s="45" t="s">
        <v>229</v>
      </c>
      <c r="S191" s="45" t="s">
        <v>26</v>
      </c>
      <c r="T191" s="46">
        <v>10261.799999999999</v>
      </c>
      <c r="U191" s="45" t="s">
        <v>27</v>
      </c>
      <c r="V191" s="47">
        <f t="shared" si="28"/>
        <v>10261.799999999999</v>
      </c>
      <c r="W191" s="47">
        <f t="shared" si="29"/>
        <v>61570.799999999996</v>
      </c>
      <c r="X191" s="48">
        <f t="shared" si="30"/>
        <v>10261.799999999999</v>
      </c>
      <c r="Y191" s="49"/>
      <c r="Z191" s="50">
        <f t="shared" si="31"/>
        <v>10261.799999999999</v>
      </c>
      <c r="AA191" s="51">
        <f t="shared" si="32"/>
        <v>0</v>
      </c>
      <c r="AB191" s="50">
        <f t="shared" si="33"/>
        <v>61570.799999999996</v>
      </c>
    </row>
    <row r="192" spans="1:40 16379:16384" ht="25.5" x14ac:dyDescent="0.25">
      <c r="A192" s="53">
        <v>183</v>
      </c>
      <c r="B192" s="65" t="s">
        <v>269</v>
      </c>
      <c r="C192" s="66" t="s">
        <v>225</v>
      </c>
      <c r="D192" s="67" t="s">
        <v>32</v>
      </c>
      <c r="E192" s="70">
        <v>2</v>
      </c>
      <c r="F192" s="45" t="s">
        <v>227</v>
      </c>
      <c r="G192" s="45" t="s">
        <v>26</v>
      </c>
      <c r="H192" s="46">
        <v>2211.6999999999998</v>
      </c>
      <c r="I192" s="45" t="s">
        <v>27</v>
      </c>
      <c r="J192" s="47">
        <f t="shared" si="34"/>
        <v>2211.6999999999998</v>
      </c>
      <c r="K192" s="47">
        <f t="shared" si="25"/>
        <v>4423.3999999999996</v>
      </c>
      <c r="L192" s="45" t="s">
        <v>228</v>
      </c>
      <c r="M192" s="45" t="s">
        <v>26</v>
      </c>
      <c r="N192" s="46">
        <v>2211.6999999999998</v>
      </c>
      <c r="O192" s="45" t="s">
        <v>27</v>
      </c>
      <c r="P192" s="47">
        <f t="shared" si="35"/>
        <v>2211.6999999999998</v>
      </c>
      <c r="Q192" s="47">
        <f t="shared" si="27"/>
        <v>4423.3999999999996</v>
      </c>
      <c r="R192" s="45" t="s">
        <v>229</v>
      </c>
      <c r="S192" s="45" t="s">
        <v>26</v>
      </c>
      <c r="T192" s="46">
        <v>2211.6999999999998</v>
      </c>
      <c r="U192" s="45" t="s">
        <v>27</v>
      </c>
      <c r="V192" s="47">
        <f t="shared" si="28"/>
        <v>2211.6999999999998</v>
      </c>
      <c r="W192" s="47">
        <f t="shared" si="29"/>
        <v>4423.3999999999996</v>
      </c>
      <c r="X192" s="48">
        <f t="shared" si="30"/>
        <v>2211.6999999999998</v>
      </c>
      <c r="Y192" s="49"/>
      <c r="Z192" s="50">
        <f t="shared" si="31"/>
        <v>2211.6999999999998</v>
      </c>
      <c r="AA192" s="51">
        <f t="shared" si="32"/>
        <v>0</v>
      </c>
      <c r="AB192" s="50">
        <f t="shared" si="33"/>
        <v>4423.3999999999996</v>
      </c>
    </row>
    <row r="193" spans="1:28" ht="25.5" x14ac:dyDescent="0.25">
      <c r="A193" s="53">
        <v>184</v>
      </c>
      <c r="B193" s="65" t="s">
        <v>270</v>
      </c>
      <c r="C193" s="66" t="s">
        <v>245</v>
      </c>
      <c r="D193" s="67" t="s">
        <v>32</v>
      </c>
      <c r="E193" s="70">
        <v>4156</v>
      </c>
      <c r="F193" s="45" t="s">
        <v>246</v>
      </c>
      <c r="G193" s="45" t="s">
        <v>26</v>
      </c>
      <c r="H193" s="46">
        <v>49.05</v>
      </c>
      <c r="I193" s="45" t="s">
        <v>27</v>
      </c>
      <c r="J193" s="47">
        <f t="shared" si="34"/>
        <v>49.05</v>
      </c>
      <c r="K193" s="47">
        <f t="shared" si="25"/>
        <v>203851.8</v>
      </c>
      <c r="L193" s="45" t="s">
        <v>247</v>
      </c>
      <c r="M193" s="45" t="s">
        <v>26</v>
      </c>
      <c r="N193" s="46">
        <v>57</v>
      </c>
      <c r="O193" s="45" t="s">
        <v>27</v>
      </c>
      <c r="P193" s="47">
        <f t="shared" si="35"/>
        <v>57</v>
      </c>
      <c r="Q193" s="47">
        <f t="shared" si="27"/>
        <v>236892</v>
      </c>
      <c r="R193" s="45" t="s">
        <v>248</v>
      </c>
      <c r="S193" s="45" t="s">
        <v>26</v>
      </c>
      <c r="T193" s="46">
        <f>71.81/1.22</f>
        <v>58.860655737704924</v>
      </c>
      <c r="U193" s="45" t="s">
        <v>27</v>
      </c>
      <c r="V193" s="47">
        <f t="shared" si="28"/>
        <v>58.860655737704924</v>
      </c>
      <c r="W193" s="47">
        <f t="shared" si="29"/>
        <v>244624.88524590168</v>
      </c>
      <c r="X193" s="48">
        <f t="shared" si="30"/>
        <v>49.05</v>
      </c>
      <c r="Y193" s="49"/>
      <c r="Z193" s="50">
        <f t="shared" si="31"/>
        <v>54.970218579234974</v>
      </c>
      <c r="AA193" s="51">
        <f t="shared" si="32"/>
        <v>-10.769865451237877</v>
      </c>
      <c r="AB193" s="50">
        <f t="shared" si="33"/>
        <v>203851.8</v>
      </c>
    </row>
    <row r="194" spans="1:28" ht="25.5" x14ac:dyDescent="0.25">
      <c r="A194" s="53">
        <v>185</v>
      </c>
      <c r="B194" s="65" t="s">
        <v>164</v>
      </c>
      <c r="C194" s="66" t="s">
        <v>245</v>
      </c>
      <c r="D194" s="67" t="s">
        <v>32</v>
      </c>
      <c r="E194" s="70">
        <v>46</v>
      </c>
      <c r="F194" s="45" t="s">
        <v>246</v>
      </c>
      <c r="G194" s="45" t="s">
        <v>26</v>
      </c>
      <c r="H194" s="46">
        <v>226.22</v>
      </c>
      <c r="I194" s="45" t="s">
        <v>27</v>
      </c>
      <c r="J194" s="47">
        <f t="shared" si="34"/>
        <v>226.22</v>
      </c>
      <c r="K194" s="47">
        <f t="shared" si="25"/>
        <v>10406.120000000001</v>
      </c>
      <c r="L194" s="45" t="s">
        <v>247</v>
      </c>
      <c r="M194" s="45" t="s">
        <v>26</v>
      </c>
      <c r="N194" s="46">
        <v>321</v>
      </c>
      <c r="O194" s="45" t="s">
        <v>27</v>
      </c>
      <c r="P194" s="47">
        <f t="shared" si="35"/>
        <v>321</v>
      </c>
      <c r="Q194" s="47">
        <f t="shared" si="27"/>
        <v>14766</v>
      </c>
      <c r="R194" s="45" t="s">
        <v>248</v>
      </c>
      <c r="S194" s="45" t="s">
        <v>26</v>
      </c>
      <c r="T194" s="46">
        <f>297.86/1.22</f>
        <v>244.14754098360658</v>
      </c>
      <c r="U194" s="45" t="s">
        <v>27</v>
      </c>
      <c r="V194" s="47">
        <f t="shared" si="28"/>
        <v>244.14754098360658</v>
      </c>
      <c r="W194" s="47">
        <f t="shared" si="29"/>
        <v>11230.786885245903</v>
      </c>
      <c r="X194" s="48">
        <f t="shared" si="30"/>
        <v>226.22</v>
      </c>
      <c r="Y194" s="49"/>
      <c r="Z194" s="50">
        <f t="shared" si="31"/>
        <v>263.78918032786891</v>
      </c>
      <c r="AA194" s="51">
        <f t="shared" si="32"/>
        <v>-14.242123305123215</v>
      </c>
      <c r="AB194" s="50">
        <f t="shared" si="33"/>
        <v>10406.120000000001</v>
      </c>
    </row>
    <row r="195" spans="1:28" ht="27" x14ac:dyDescent="0.25">
      <c r="A195" s="53">
        <v>186</v>
      </c>
      <c r="B195" s="71" t="s">
        <v>271</v>
      </c>
      <c r="C195" s="66" t="s">
        <v>245</v>
      </c>
      <c r="D195" s="67" t="s">
        <v>32</v>
      </c>
      <c r="E195" s="70">
        <v>46</v>
      </c>
      <c r="F195" s="45" t="s">
        <v>246</v>
      </c>
      <c r="G195" s="45" t="s">
        <v>26</v>
      </c>
      <c r="H195" s="46">
        <v>4957.01</v>
      </c>
      <c r="I195" s="45" t="s">
        <v>27</v>
      </c>
      <c r="J195" s="47">
        <f t="shared" si="34"/>
        <v>4957.01</v>
      </c>
      <c r="K195" s="47">
        <f t="shared" si="25"/>
        <v>228022.46000000002</v>
      </c>
      <c r="L195" s="45" t="s">
        <v>247</v>
      </c>
      <c r="M195" s="45" t="s">
        <v>26</v>
      </c>
      <c r="N195" s="46">
        <v>5970</v>
      </c>
      <c r="O195" s="45" t="s">
        <v>27</v>
      </c>
      <c r="P195" s="47">
        <f t="shared" si="35"/>
        <v>5970</v>
      </c>
      <c r="Q195" s="47">
        <f t="shared" si="27"/>
        <v>274620</v>
      </c>
      <c r="R195" s="45" t="s">
        <v>248</v>
      </c>
      <c r="S195" s="45" t="s">
        <v>26</v>
      </c>
      <c r="T195" s="46">
        <f>6652.31/1.22</f>
        <v>5452.7131147540986</v>
      </c>
      <c r="U195" s="45" t="s">
        <v>27</v>
      </c>
      <c r="V195" s="47">
        <f t="shared" si="28"/>
        <v>5452.7131147540986</v>
      </c>
      <c r="W195" s="47">
        <f t="shared" si="29"/>
        <v>250824.80327868855</v>
      </c>
      <c r="X195" s="48">
        <f t="shared" si="30"/>
        <v>4957.01</v>
      </c>
      <c r="Y195" s="49"/>
      <c r="Z195" s="50">
        <f t="shared" si="31"/>
        <v>5459.9077049180332</v>
      </c>
      <c r="AA195" s="51">
        <f t="shared" si="32"/>
        <v>-9.2107363731633427</v>
      </c>
      <c r="AB195" s="50">
        <f t="shared" si="33"/>
        <v>228022.46000000002</v>
      </c>
    </row>
    <row r="196" spans="1:28" ht="25.5" x14ac:dyDescent="0.25">
      <c r="A196" s="53">
        <v>187</v>
      </c>
      <c r="B196" s="65" t="s">
        <v>272</v>
      </c>
      <c r="C196" s="66" t="s">
        <v>245</v>
      </c>
      <c r="D196" s="67" t="s">
        <v>40</v>
      </c>
      <c r="E196" s="70">
        <v>304</v>
      </c>
      <c r="F196" s="45" t="s">
        <v>246</v>
      </c>
      <c r="G196" s="45" t="s">
        <v>26</v>
      </c>
      <c r="H196" s="46">
        <v>58.09</v>
      </c>
      <c r="I196" s="45" t="s">
        <v>27</v>
      </c>
      <c r="J196" s="47">
        <f t="shared" si="34"/>
        <v>58.09</v>
      </c>
      <c r="K196" s="47">
        <f t="shared" si="25"/>
        <v>17659.36</v>
      </c>
      <c r="L196" s="45" t="s">
        <v>247</v>
      </c>
      <c r="M196" s="45" t="s">
        <v>26</v>
      </c>
      <c r="N196" s="46">
        <v>59.99</v>
      </c>
      <c r="O196" s="45" t="s">
        <v>27</v>
      </c>
      <c r="P196" s="47">
        <f t="shared" si="35"/>
        <v>59.99</v>
      </c>
      <c r="Q196" s="47">
        <f t="shared" si="27"/>
        <v>18236.96</v>
      </c>
      <c r="R196" s="45" t="s">
        <v>248</v>
      </c>
      <c r="S196" s="45" t="s">
        <v>26</v>
      </c>
      <c r="T196" s="46">
        <v>60.99</v>
      </c>
      <c r="U196" s="45" t="s">
        <v>27</v>
      </c>
      <c r="V196" s="47">
        <f t="shared" si="28"/>
        <v>60.99</v>
      </c>
      <c r="W196" s="47">
        <f t="shared" si="29"/>
        <v>18540.96</v>
      </c>
      <c r="X196" s="48">
        <f t="shared" si="30"/>
        <v>58.09</v>
      </c>
      <c r="Y196" s="49"/>
      <c r="Z196" s="50">
        <f t="shared" si="31"/>
        <v>59.690000000000005</v>
      </c>
      <c r="AA196" s="51">
        <f t="shared" si="32"/>
        <v>-2.6805159993298844</v>
      </c>
      <c r="AB196" s="50">
        <f t="shared" si="33"/>
        <v>17659.36</v>
      </c>
    </row>
    <row r="197" spans="1:28" ht="25.5" x14ac:dyDescent="0.25">
      <c r="A197" s="53">
        <v>188</v>
      </c>
      <c r="B197" s="65" t="s">
        <v>273</v>
      </c>
      <c r="C197" s="66" t="s">
        <v>245</v>
      </c>
      <c r="D197" s="67" t="s">
        <v>24</v>
      </c>
      <c r="E197" s="70">
        <v>62</v>
      </c>
      <c r="F197" s="45" t="s">
        <v>246</v>
      </c>
      <c r="G197" s="45" t="s">
        <v>26</v>
      </c>
      <c r="H197" s="46">
        <v>84.54</v>
      </c>
      <c r="I197" s="45" t="s">
        <v>27</v>
      </c>
      <c r="J197" s="47">
        <f t="shared" si="34"/>
        <v>84.54</v>
      </c>
      <c r="K197" s="47">
        <f t="shared" si="25"/>
        <v>5241.4800000000005</v>
      </c>
      <c r="L197" s="45" t="s">
        <v>247</v>
      </c>
      <c r="M197" s="45" t="s">
        <v>26</v>
      </c>
      <c r="N197" s="46">
        <v>97.5</v>
      </c>
      <c r="O197" s="45" t="s">
        <v>27</v>
      </c>
      <c r="P197" s="47">
        <f t="shared" si="35"/>
        <v>97.5</v>
      </c>
      <c r="Q197" s="47">
        <f t="shared" si="27"/>
        <v>6045</v>
      </c>
      <c r="R197" s="45" t="s">
        <v>248</v>
      </c>
      <c r="S197" s="45" t="s">
        <v>26</v>
      </c>
      <c r="T197" s="46">
        <f>121.71/1.22</f>
        <v>99.76229508196721</v>
      </c>
      <c r="U197" s="45" t="s">
        <v>27</v>
      </c>
      <c r="V197" s="47">
        <f t="shared" si="28"/>
        <v>99.76229508196721</v>
      </c>
      <c r="W197" s="47">
        <f t="shared" si="29"/>
        <v>6185.2622950819668</v>
      </c>
      <c r="X197" s="48">
        <f t="shared" si="30"/>
        <v>84.54</v>
      </c>
      <c r="Y197" s="49"/>
      <c r="Z197" s="50">
        <f t="shared" si="31"/>
        <v>93.934098360655753</v>
      </c>
      <c r="AA197" s="51">
        <f t="shared" si="32"/>
        <v>-10.000732986851631</v>
      </c>
      <c r="AB197" s="50">
        <f t="shared" si="33"/>
        <v>5241.4800000000005</v>
      </c>
    </row>
    <row r="198" spans="1:28" ht="25.5" x14ac:dyDescent="0.25">
      <c r="A198" s="53">
        <v>189</v>
      </c>
      <c r="B198" s="65" t="s">
        <v>274</v>
      </c>
      <c r="C198" s="66" t="s">
        <v>225</v>
      </c>
      <c r="D198" s="67" t="s">
        <v>32</v>
      </c>
      <c r="E198" s="70">
        <v>14783</v>
      </c>
      <c r="F198" s="45" t="s">
        <v>227</v>
      </c>
      <c r="G198" s="45" t="s">
        <v>26</v>
      </c>
      <c r="H198" s="46">
        <v>10.44</v>
      </c>
      <c r="I198" s="45" t="s">
        <v>27</v>
      </c>
      <c r="J198" s="47">
        <f t="shared" si="34"/>
        <v>10.44</v>
      </c>
      <c r="K198" s="47">
        <f t="shared" si="25"/>
        <v>154334.51999999999</v>
      </c>
      <c r="L198" s="45" t="s">
        <v>228</v>
      </c>
      <c r="M198" s="45" t="s">
        <v>26</v>
      </c>
      <c r="N198" s="46">
        <v>10.44</v>
      </c>
      <c r="O198" s="45" t="s">
        <v>27</v>
      </c>
      <c r="P198" s="47">
        <f t="shared" si="35"/>
        <v>10.44</v>
      </c>
      <c r="Q198" s="47">
        <f t="shared" si="27"/>
        <v>154334.51999999999</v>
      </c>
      <c r="R198" s="45" t="s">
        <v>229</v>
      </c>
      <c r="S198" s="45" t="s">
        <v>26</v>
      </c>
      <c r="T198" s="46">
        <v>10.44</v>
      </c>
      <c r="U198" s="45" t="s">
        <v>27</v>
      </c>
      <c r="V198" s="47">
        <f t="shared" si="28"/>
        <v>10.44</v>
      </c>
      <c r="W198" s="47">
        <f t="shared" si="29"/>
        <v>154334.51999999999</v>
      </c>
      <c r="X198" s="48">
        <f t="shared" si="30"/>
        <v>10.44</v>
      </c>
      <c r="Y198" s="49"/>
      <c r="Z198" s="50">
        <f t="shared" si="31"/>
        <v>10.44</v>
      </c>
      <c r="AA198" s="51">
        <f t="shared" si="32"/>
        <v>0</v>
      </c>
      <c r="AB198" s="50">
        <f t="shared" si="33"/>
        <v>154334.51999999999</v>
      </c>
    </row>
    <row r="199" spans="1:28" ht="25.5" x14ac:dyDescent="0.25">
      <c r="A199" s="53">
        <v>190</v>
      </c>
      <c r="B199" s="65" t="s">
        <v>275</v>
      </c>
      <c r="C199" s="66" t="s">
        <v>225</v>
      </c>
      <c r="D199" s="67" t="s">
        <v>32</v>
      </c>
      <c r="E199" s="70">
        <v>4704</v>
      </c>
      <c r="F199" s="45" t="s">
        <v>227</v>
      </c>
      <c r="G199" s="45" t="s">
        <v>26</v>
      </c>
      <c r="H199" s="46">
        <v>18.75</v>
      </c>
      <c r="I199" s="45" t="s">
        <v>27</v>
      </c>
      <c r="J199" s="47">
        <f t="shared" si="34"/>
        <v>18.75</v>
      </c>
      <c r="K199" s="47">
        <f t="shared" si="25"/>
        <v>88200</v>
      </c>
      <c r="L199" s="45" t="s">
        <v>228</v>
      </c>
      <c r="M199" s="45" t="s">
        <v>26</v>
      </c>
      <c r="N199" s="46">
        <v>18.75</v>
      </c>
      <c r="O199" s="45" t="s">
        <v>27</v>
      </c>
      <c r="P199" s="47">
        <f t="shared" si="35"/>
        <v>18.75</v>
      </c>
      <c r="Q199" s="47">
        <f t="shared" si="27"/>
        <v>88200</v>
      </c>
      <c r="R199" s="45" t="s">
        <v>229</v>
      </c>
      <c r="S199" s="45" t="s">
        <v>26</v>
      </c>
      <c r="T199" s="46">
        <v>18.75</v>
      </c>
      <c r="U199" s="45" t="s">
        <v>27</v>
      </c>
      <c r="V199" s="47">
        <f t="shared" si="28"/>
        <v>18.75</v>
      </c>
      <c r="W199" s="47">
        <f t="shared" si="29"/>
        <v>88200</v>
      </c>
      <c r="X199" s="48">
        <f t="shared" si="30"/>
        <v>18.75</v>
      </c>
      <c r="Y199" s="49"/>
      <c r="Z199" s="50">
        <f t="shared" si="31"/>
        <v>18.75</v>
      </c>
      <c r="AA199" s="51">
        <f t="shared" si="32"/>
        <v>0</v>
      </c>
      <c r="AB199" s="50">
        <f t="shared" si="33"/>
        <v>88200</v>
      </c>
    </row>
    <row r="200" spans="1:28" ht="25.5" x14ac:dyDescent="0.25">
      <c r="A200" s="53">
        <v>191</v>
      </c>
      <c r="B200" s="65" t="s">
        <v>276</v>
      </c>
      <c r="C200" s="66" t="s">
        <v>225</v>
      </c>
      <c r="D200" s="67" t="s">
        <v>32</v>
      </c>
      <c r="E200" s="70">
        <v>2871</v>
      </c>
      <c r="F200" s="45" t="s">
        <v>227</v>
      </c>
      <c r="G200" s="45" t="s">
        <v>26</v>
      </c>
      <c r="H200" s="46">
        <v>12.89</v>
      </c>
      <c r="I200" s="45" t="s">
        <v>27</v>
      </c>
      <c r="J200" s="47">
        <f t="shared" si="34"/>
        <v>12.89</v>
      </c>
      <c r="K200" s="47">
        <f t="shared" si="25"/>
        <v>37007.19</v>
      </c>
      <c r="L200" s="45" t="s">
        <v>228</v>
      </c>
      <c r="M200" s="45" t="s">
        <v>26</v>
      </c>
      <c r="N200" s="46">
        <v>12.89</v>
      </c>
      <c r="O200" s="45" t="s">
        <v>27</v>
      </c>
      <c r="P200" s="47">
        <f t="shared" si="35"/>
        <v>12.89</v>
      </c>
      <c r="Q200" s="47">
        <f t="shared" si="27"/>
        <v>37007.19</v>
      </c>
      <c r="R200" s="45" t="s">
        <v>229</v>
      </c>
      <c r="S200" s="45" t="s">
        <v>26</v>
      </c>
      <c r="T200" s="46">
        <v>12.89</v>
      </c>
      <c r="U200" s="45" t="s">
        <v>27</v>
      </c>
      <c r="V200" s="47">
        <f t="shared" si="28"/>
        <v>12.89</v>
      </c>
      <c r="W200" s="47">
        <f t="shared" si="29"/>
        <v>37007.19</v>
      </c>
      <c r="X200" s="48">
        <f t="shared" si="30"/>
        <v>12.89</v>
      </c>
      <c r="Y200" s="49"/>
      <c r="Z200" s="50">
        <f t="shared" si="31"/>
        <v>12.89</v>
      </c>
      <c r="AA200" s="51">
        <f t="shared" si="32"/>
        <v>0</v>
      </c>
      <c r="AB200" s="50">
        <f t="shared" si="33"/>
        <v>37007.19</v>
      </c>
    </row>
    <row r="201" spans="1:28" ht="27" x14ac:dyDescent="0.25">
      <c r="A201" s="53">
        <v>192</v>
      </c>
      <c r="B201" s="65" t="s">
        <v>277</v>
      </c>
      <c r="C201" s="66" t="s">
        <v>225</v>
      </c>
      <c r="D201" s="69" t="s">
        <v>226</v>
      </c>
      <c r="E201" s="70">
        <v>94</v>
      </c>
      <c r="F201" s="45" t="s">
        <v>227</v>
      </c>
      <c r="G201" s="45" t="s">
        <v>26</v>
      </c>
      <c r="H201" s="46">
        <v>173.28</v>
      </c>
      <c r="I201" s="45" t="s">
        <v>27</v>
      </c>
      <c r="J201" s="47">
        <f t="shared" si="34"/>
        <v>173.28</v>
      </c>
      <c r="K201" s="47">
        <f t="shared" si="25"/>
        <v>16288.32</v>
      </c>
      <c r="L201" s="45" t="s">
        <v>228</v>
      </c>
      <c r="M201" s="45" t="s">
        <v>26</v>
      </c>
      <c r="N201" s="46">
        <v>173.28</v>
      </c>
      <c r="O201" s="45" t="s">
        <v>27</v>
      </c>
      <c r="P201" s="47">
        <f t="shared" si="35"/>
        <v>173.28</v>
      </c>
      <c r="Q201" s="47">
        <f t="shared" si="27"/>
        <v>16288.32</v>
      </c>
      <c r="R201" s="45" t="s">
        <v>229</v>
      </c>
      <c r="S201" s="45" t="s">
        <v>26</v>
      </c>
      <c r="T201" s="46">
        <v>173.28</v>
      </c>
      <c r="U201" s="45" t="s">
        <v>27</v>
      </c>
      <c r="V201" s="47">
        <f t="shared" si="28"/>
        <v>173.28</v>
      </c>
      <c r="W201" s="47">
        <f t="shared" si="29"/>
        <v>16288.32</v>
      </c>
      <c r="X201" s="48">
        <f t="shared" si="30"/>
        <v>173.28</v>
      </c>
      <c r="Y201" s="13"/>
      <c r="Z201" s="50">
        <f t="shared" si="31"/>
        <v>173.28</v>
      </c>
      <c r="AA201" s="51">
        <f t="shared" si="32"/>
        <v>0</v>
      </c>
      <c r="AB201" s="50">
        <f t="shared" si="33"/>
        <v>16288.32</v>
      </c>
    </row>
    <row r="202" spans="1:28" ht="38.25" x14ac:dyDescent="0.25">
      <c r="A202" s="53">
        <v>193</v>
      </c>
      <c r="B202" s="65" t="s">
        <v>278</v>
      </c>
      <c r="C202" s="66" t="s">
        <v>245</v>
      </c>
      <c r="D202" s="67" t="s">
        <v>32</v>
      </c>
      <c r="E202" s="70">
        <v>45</v>
      </c>
      <c r="F202" s="45" t="s">
        <v>279</v>
      </c>
      <c r="G202" s="45" t="s">
        <v>93</v>
      </c>
      <c r="H202" s="46">
        <f>1310/1.22</f>
        <v>1073.7704918032787</v>
      </c>
      <c r="I202" s="45" t="s">
        <v>27</v>
      </c>
      <c r="J202" s="47">
        <f t="shared" si="34"/>
        <v>1073.7704918032787</v>
      </c>
      <c r="K202" s="47">
        <f t="shared" ref="K202:K265" si="36">J202*E202</f>
        <v>48319.672131147541</v>
      </c>
      <c r="L202" s="45" t="s">
        <v>280</v>
      </c>
      <c r="M202" s="45" t="s">
        <v>93</v>
      </c>
      <c r="N202" s="46">
        <f>1428/1.22</f>
        <v>1170.4918032786886</v>
      </c>
      <c r="O202" s="45" t="s">
        <v>27</v>
      </c>
      <c r="P202" s="47">
        <f t="shared" si="35"/>
        <v>1170.4918032786886</v>
      </c>
      <c r="Q202" s="47">
        <f t="shared" ref="Q202:Q265" si="37">E202*P202</f>
        <v>52672.131147540989</v>
      </c>
      <c r="R202" s="45" t="s">
        <v>281</v>
      </c>
      <c r="S202" s="45" t="s">
        <v>93</v>
      </c>
      <c r="T202" s="46">
        <f>1508/1.22</f>
        <v>1236.0655737704919</v>
      </c>
      <c r="U202" s="45" t="s">
        <v>27</v>
      </c>
      <c r="V202" s="47">
        <f t="shared" ref="V202:V265" si="38">T202</f>
        <v>1236.0655737704919</v>
      </c>
      <c r="W202" s="47">
        <f t="shared" ref="W202:W265" si="39">V202*E202</f>
        <v>55622.950819672136</v>
      </c>
      <c r="X202" s="48">
        <f t="shared" ref="X202:X265" si="40">MIN(H202,N202,T202)</f>
        <v>1073.7704918032787</v>
      </c>
      <c r="Y202" s="49"/>
      <c r="Z202" s="50">
        <f t="shared" ref="Z202:Z265" si="41">AVERAGE(H202,N202,T202)</f>
        <v>1160.1092896174864</v>
      </c>
      <c r="AA202" s="51">
        <f t="shared" ref="AA202:AA265" si="42">X202*100/Z202-100</f>
        <v>-7.4422986340084805</v>
      </c>
      <c r="AB202" s="50">
        <f t="shared" ref="AB202:AB265" si="43">X202*E202</f>
        <v>48319.672131147541</v>
      </c>
    </row>
    <row r="203" spans="1:28" ht="25.5" x14ac:dyDescent="0.25">
      <c r="A203" s="53">
        <v>194</v>
      </c>
      <c r="B203" s="65" t="s">
        <v>282</v>
      </c>
      <c r="C203" s="66" t="s">
        <v>245</v>
      </c>
      <c r="D203" s="67" t="s">
        <v>32</v>
      </c>
      <c r="E203" s="70">
        <v>6</v>
      </c>
      <c r="F203" s="45" t="s">
        <v>283</v>
      </c>
      <c r="G203" s="45" t="s">
        <v>93</v>
      </c>
      <c r="H203" s="46">
        <f>1756.18/1.22</f>
        <v>1439.4918032786886</v>
      </c>
      <c r="I203" s="45" t="s">
        <v>27</v>
      </c>
      <c r="J203" s="47">
        <f t="shared" si="34"/>
        <v>1439.4918032786886</v>
      </c>
      <c r="K203" s="47">
        <f t="shared" si="36"/>
        <v>8636.9508196721326</v>
      </c>
      <c r="L203" s="45" t="s">
        <v>284</v>
      </c>
      <c r="M203" s="45" t="s">
        <v>93</v>
      </c>
      <c r="N203" s="46">
        <f>1756.18/1.22</f>
        <v>1439.4918032786886</v>
      </c>
      <c r="O203" s="45" t="s">
        <v>27</v>
      </c>
      <c r="P203" s="47">
        <f t="shared" si="35"/>
        <v>1439.4918032786886</v>
      </c>
      <c r="Q203" s="47">
        <f t="shared" si="37"/>
        <v>8636.9508196721326</v>
      </c>
      <c r="R203" s="45" t="s">
        <v>285</v>
      </c>
      <c r="S203" s="45" t="s">
        <v>93</v>
      </c>
      <c r="T203" s="46">
        <f>3514/2/1.22</f>
        <v>1440.1639344262296</v>
      </c>
      <c r="U203" s="45" t="s">
        <v>27</v>
      </c>
      <c r="V203" s="47">
        <f t="shared" si="38"/>
        <v>1440.1639344262296</v>
      </c>
      <c r="W203" s="47">
        <f t="shared" si="39"/>
        <v>8640.9836065573782</v>
      </c>
      <c r="X203" s="48">
        <f t="shared" si="40"/>
        <v>1439.4918032786886</v>
      </c>
      <c r="Y203" s="49"/>
      <c r="Z203" s="50">
        <f t="shared" si="41"/>
        <v>1439.7158469945355</v>
      </c>
      <c r="AA203" s="51">
        <f t="shared" si="42"/>
        <v>-1.5561662137315579E-2</v>
      </c>
      <c r="AB203" s="50">
        <f t="shared" si="43"/>
        <v>8636.9508196721326</v>
      </c>
    </row>
    <row r="204" spans="1:28" ht="25.5" x14ac:dyDescent="0.25">
      <c r="A204" s="53">
        <v>195</v>
      </c>
      <c r="B204" s="65" t="s">
        <v>286</v>
      </c>
      <c r="C204" s="66" t="s">
        <v>245</v>
      </c>
      <c r="D204" s="67" t="s">
        <v>287</v>
      </c>
      <c r="E204" s="75">
        <v>9.4499999999999993</v>
      </c>
      <c r="F204" s="45" t="s">
        <v>246</v>
      </c>
      <c r="G204" s="45" t="s">
        <v>26</v>
      </c>
      <c r="H204" s="46">
        <f>333.46/0.52</f>
        <v>641.26923076923072</v>
      </c>
      <c r="I204" s="45" t="s">
        <v>27</v>
      </c>
      <c r="J204" s="47">
        <f t="shared" si="34"/>
        <v>641.26923076923072</v>
      </c>
      <c r="K204" s="47">
        <f t="shared" si="36"/>
        <v>6059.9942307692299</v>
      </c>
      <c r="L204" s="45" t="s">
        <v>247</v>
      </c>
      <c r="M204" s="45" t="s">
        <v>26</v>
      </c>
      <c r="N204" s="46">
        <f>543/0.52</f>
        <v>1044.2307692307693</v>
      </c>
      <c r="O204" s="45" t="s">
        <v>27</v>
      </c>
      <c r="P204" s="47">
        <f t="shared" si="35"/>
        <v>1044.2307692307693</v>
      </c>
      <c r="Q204" s="47">
        <f t="shared" si="37"/>
        <v>9867.9807692307695</v>
      </c>
      <c r="R204" s="45" t="s">
        <v>248</v>
      </c>
      <c r="S204" s="45" t="s">
        <v>26</v>
      </c>
      <c r="T204" s="46">
        <f>870.34/1.22</f>
        <v>713.39344262295083</v>
      </c>
      <c r="U204" s="45" t="s">
        <v>27</v>
      </c>
      <c r="V204" s="47">
        <f t="shared" si="38"/>
        <v>713.39344262295083</v>
      </c>
      <c r="W204" s="47">
        <f t="shared" si="39"/>
        <v>6741.5680327868849</v>
      </c>
      <c r="X204" s="48">
        <f t="shared" si="40"/>
        <v>641.26923076923072</v>
      </c>
      <c r="Y204" s="49"/>
      <c r="Z204" s="50">
        <f t="shared" si="41"/>
        <v>799.63114754098353</v>
      </c>
      <c r="AA204" s="51">
        <f t="shared" si="42"/>
        <v>-19.804370710013686</v>
      </c>
      <c r="AB204" s="50">
        <f t="shared" si="43"/>
        <v>6059.9942307692299</v>
      </c>
    </row>
    <row r="205" spans="1:28" ht="25.5" x14ac:dyDescent="0.25">
      <c r="A205" s="53">
        <v>196</v>
      </c>
      <c r="B205" s="65" t="s">
        <v>288</v>
      </c>
      <c r="C205" s="66" t="s">
        <v>245</v>
      </c>
      <c r="D205" s="67" t="s">
        <v>287</v>
      </c>
      <c r="E205" s="75">
        <v>9.4499999999999993</v>
      </c>
      <c r="F205" s="45" t="s">
        <v>246</v>
      </c>
      <c r="G205" s="45" t="s">
        <v>26</v>
      </c>
      <c r="H205" s="46">
        <f>482.79/0.52</f>
        <v>928.44230769230774</v>
      </c>
      <c r="I205" s="45" t="s">
        <v>27</v>
      </c>
      <c r="J205" s="47">
        <f t="shared" si="34"/>
        <v>928.44230769230774</v>
      </c>
      <c r="K205" s="47">
        <f t="shared" si="36"/>
        <v>8773.7798076923082</v>
      </c>
      <c r="L205" s="45" t="s">
        <v>247</v>
      </c>
      <c r="M205" s="45" t="s">
        <v>26</v>
      </c>
      <c r="N205" s="46">
        <f>520/0.52</f>
        <v>1000</v>
      </c>
      <c r="O205" s="45" t="s">
        <v>27</v>
      </c>
      <c r="P205" s="47">
        <f t="shared" si="35"/>
        <v>1000</v>
      </c>
      <c r="Q205" s="47">
        <f t="shared" si="37"/>
        <v>9450</v>
      </c>
      <c r="R205" s="45" t="s">
        <v>248</v>
      </c>
      <c r="S205" s="45" t="s">
        <v>26</v>
      </c>
      <c r="T205" s="46">
        <f>1379.97/1.22</f>
        <v>1131.1229508196723</v>
      </c>
      <c r="U205" s="45" t="s">
        <v>27</v>
      </c>
      <c r="V205" s="47">
        <f t="shared" si="38"/>
        <v>1131.1229508196723</v>
      </c>
      <c r="W205" s="47">
        <f t="shared" si="39"/>
        <v>10689.111885245902</v>
      </c>
      <c r="X205" s="48">
        <f t="shared" si="40"/>
        <v>928.44230769230774</v>
      </c>
      <c r="Y205" s="49"/>
      <c r="Z205" s="50">
        <f t="shared" si="41"/>
        <v>1019.8550861706599</v>
      </c>
      <c r="AA205" s="51">
        <f t="shared" si="42"/>
        <v>-8.9633105445978316</v>
      </c>
      <c r="AB205" s="50">
        <f t="shared" si="43"/>
        <v>8773.7798076923082</v>
      </c>
    </row>
    <row r="206" spans="1:28" ht="25.5" customHeight="1" x14ac:dyDescent="0.25">
      <c r="A206" s="53">
        <v>197</v>
      </c>
      <c r="B206" s="65" t="s">
        <v>289</v>
      </c>
      <c r="C206" s="66" t="s">
        <v>245</v>
      </c>
      <c r="D206" s="67" t="s">
        <v>32</v>
      </c>
      <c r="E206" s="70">
        <v>16</v>
      </c>
      <c r="F206" s="45" t="s">
        <v>290</v>
      </c>
      <c r="G206" s="45" t="s">
        <v>93</v>
      </c>
      <c r="H206" s="46">
        <f>19.98/1.22</f>
        <v>16.377049180327869</v>
      </c>
      <c r="I206" s="45" t="s">
        <v>27</v>
      </c>
      <c r="J206" s="47">
        <f t="shared" si="34"/>
        <v>16.377049180327869</v>
      </c>
      <c r="K206" s="47">
        <f t="shared" si="36"/>
        <v>262.03278688524591</v>
      </c>
      <c r="L206" s="45" t="s">
        <v>291</v>
      </c>
      <c r="M206" s="45" t="s">
        <v>93</v>
      </c>
      <c r="N206" s="46">
        <f>1006.5/50/1.22</f>
        <v>16.5</v>
      </c>
      <c r="O206" s="45" t="s">
        <v>27</v>
      </c>
      <c r="P206" s="47">
        <f t="shared" si="35"/>
        <v>16.5</v>
      </c>
      <c r="Q206" s="47">
        <f t="shared" si="37"/>
        <v>264</v>
      </c>
      <c r="R206" s="45" t="s">
        <v>292</v>
      </c>
      <c r="S206" s="45" t="s">
        <v>93</v>
      </c>
      <c r="T206" s="46">
        <f>17.08/1.22</f>
        <v>13.999999999999998</v>
      </c>
      <c r="U206" s="45" t="s">
        <v>27</v>
      </c>
      <c r="V206" s="47">
        <f t="shared" si="38"/>
        <v>13.999999999999998</v>
      </c>
      <c r="W206" s="47">
        <f t="shared" si="39"/>
        <v>223.99999999999997</v>
      </c>
      <c r="X206" s="48">
        <f t="shared" si="40"/>
        <v>13.999999999999998</v>
      </c>
      <c r="Y206" s="49"/>
      <c r="Z206" s="50">
        <f t="shared" si="41"/>
        <v>15.62568306010929</v>
      </c>
      <c r="AA206" s="51">
        <f t="shared" si="42"/>
        <v>-10.403916768665866</v>
      </c>
      <c r="AB206" s="50">
        <f t="shared" si="43"/>
        <v>223.99999999999997</v>
      </c>
    </row>
    <row r="207" spans="1:28" ht="25.5" customHeight="1" x14ac:dyDescent="0.25">
      <c r="A207" s="53">
        <f t="shared" ref="A207:A254" si="44">A206+1</f>
        <v>198</v>
      </c>
      <c r="B207" s="65" t="s">
        <v>293</v>
      </c>
      <c r="C207" s="66" t="s">
        <v>23</v>
      </c>
      <c r="D207" s="67" t="s">
        <v>24</v>
      </c>
      <c r="E207" s="70">
        <v>4</v>
      </c>
      <c r="F207" s="45" t="s">
        <v>294</v>
      </c>
      <c r="G207" s="45" t="s">
        <v>26</v>
      </c>
      <c r="H207" s="46">
        <v>358.87</v>
      </c>
      <c r="I207" s="45" t="s">
        <v>27</v>
      </c>
      <c r="J207" s="47">
        <v>358.87</v>
      </c>
      <c r="K207" s="47">
        <f t="shared" si="36"/>
        <v>1435.48</v>
      </c>
      <c r="L207" s="45" t="s">
        <v>295</v>
      </c>
      <c r="M207" s="45" t="s">
        <v>26</v>
      </c>
      <c r="N207" s="46">
        <f>437.82/1.22</f>
        <v>358.86885245901641</v>
      </c>
      <c r="O207" s="45" t="s">
        <v>27</v>
      </c>
      <c r="P207" s="47">
        <f>437.82/1.22</f>
        <v>358.86885245901641</v>
      </c>
      <c r="Q207" s="47">
        <f t="shared" si="37"/>
        <v>1435.4754098360656</v>
      </c>
      <c r="R207" s="45" t="s">
        <v>296</v>
      </c>
      <c r="S207" s="45" t="s">
        <v>26</v>
      </c>
      <c r="T207" s="46">
        <v>358.87</v>
      </c>
      <c r="U207" s="45" t="s">
        <v>27</v>
      </c>
      <c r="V207" s="47">
        <f t="shared" si="38"/>
        <v>358.87</v>
      </c>
      <c r="W207" s="47">
        <f t="shared" si="39"/>
        <v>1435.48</v>
      </c>
      <c r="X207" s="48">
        <f t="shared" si="40"/>
        <v>358.86885245901641</v>
      </c>
      <c r="Y207" s="49"/>
      <c r="Z207" s="50">
        <f t="shared" si="41"/>
        <v>358.86961748633877</v>
      </c>
      <c r="AA207" s="51">
        <f t="shared" si="42"/>
        <v>-2.1317695482991894E-4</v>
      </c>
      <c r="AB207" s="50">
        <f t="shared" si="43"/>
        <v>1435.4754098360656</v>
      </c>
    </row>
    <row r="208" spans="1:28" ht="25.5" customHeight="1" x14ac:dyDescent="0.25">
      <c r="A208" s="53">
        <f t="shared" si="44"/>
        <v>199</v>
      </c>
      <c r="B208" s="65" t="s">
        <v>297</v>
      </c>
      <c r="C208" s="66" t="s">
        <v>23</v>
      </c>
      <c r="D208" s="67" t="s">
        <v>32</v>
      </c>
      <c r="E208" s="70">
        <v>12</v>
      </c>
      <c r="F208" s="45" t="s">
        <v>294</v>
      </c>
      <c r="G208" s="45" t="s">
        <v>26</v>
      </c>
      <c r="H208" s="46">
        <v>6.93</v>
      </c>
      <c r="I208" s="45" t="s">
        <v>27</v>
      </c>
      <c r="J208" s="47">
        <v>6.93</v>
      </c>
      <c r="K208" s="47">
        <f t="shared" si="36"/>
        <v>83.16</v>
      </c>
      <c r="L208" s="45" t="s">
        <v>295</v>
      </c>
      <c r="M208" s="45" t="s">
        <v>26</v>
      </c>
      <c r="N208" s="46">
        <f>8.45/1.22</f>
        <v>6.9262295081967205</v>
      </c>
      <c r="O208" s="45" t="s">
        <v>27</v>
      </c>
      <c r="P208" s="47">
        <f>8.45/1.22</f>
        <v>6.9262295081967205</v>
      </c>
      <c r="Q208" s="47">
        <f t="shared" si="37"/>
        <v>83.114754098360649</v>
      </c>
      <c r="R208" s="45" t="s">
        <v>296</v>
      </c>
      <c r="S208" s="45" t="s">
        <v>26</v>
      </c>
      <c r="T208" s="46">
        <v>6.93</v>
      </c>
      <c r="U208" s="45" t="s">
        <v>27</v>
      </c>
      <c r="V208" s="47">
        <f t="shared" si="38"/>
        <v>6.93</v>
      </c>
      <c r="W208" s="47">
        <f t="shared" si="39"/>
        <v>83.16</v>
      </c>
      <c r="X208" s="48">
        <f t="shared" si="40"/>
        <v>6.9262295081967205</v>
      </c>
      <c r="Y208" s="49"/>
      <c r="Z208" s="50">
        <f t="shared" si="41"/>
        <v>6.9287431693989063</v>
      </c>
      <c r="AA208" s="51">
        <f t="shared" si="42"/>
        <v>-3.6278746963631647E-2</v>
      </c>
      <c r="AB208" s="50">
        <f t="shared" si="43"/>
        <v>83.114754098360649</v>
      </c>
    </row>
    <row r="209" spans="1:28" ht="25.5" customHeight="1" x14ac:dyDescent="0.25">
      <c r="A209" s="53">
        <f t="shared" si="44"/>
        <v>200</v>
      </c>
      <c r="B209" s="65" t="s">
        <v>298</v>
      </c>
      <c r="C209" s="66" t="s">
        <v>47</v>
      </c>
      <c r="D209" s="67" t="s">
        <v>32</v>
      </c>
      <c r="E209" s="70">
        <v>44</v>
      </c>
      <c r="F209" s="45" t="s">
        <v>299</v>
      </c>
      <c r="G209" s="45" t="s">
        <v>26</v>
      </c>
      <c r="H209" s="46">
        <v>3.92</v>
      </c>
      <c r="I209" s="45" t="s">
        <v>27</v>
      </c>
      <c r="J209" s="47">
        <v>3.92</v>
      </c>
      <c r="K209" s="47">
        <f t="shared" si="36"/>
        <v>172.48</v>
      </c>
      <c r="L209" s="45" t="s">
        <v>300</v>
      </c>
      <c r="M209" s="45" t="s">
        <v>26</v>
      </c>
      <c r="N209" s="46">
        <v>4.2</v>
      </c>
      <c r="O209" s="45" t="s">
        <v>27</v>
      </c>
      <c r="P209" s="47">
        <v>4.2</v>
      </c>
      <c r="Q209" s="47">
        <f t="shared" si="37"/>
        <v>184.8</v>
      </c>
      <c r="R209" s="45" t="s">
        <v>301</v>
      </c>
      <c r="S209" s="45" t="s">
        <v>26</v>
      </c>
      <c r="T209" s="46">
        <v>4.47</v>
      </c>
      <c r="U209" s="45" t="s">
        <v>27</v>
      </c>
      <c r="V209" s="47">
        <f t="shared" si="38"/>
        <v>4.47</v>
      </c>
      <c r="W209" s="47">
        <f t="shared" si="39"/>
        <v>196.67999999999998</v>
      </c>
      <c r="X209" s="48">
        <f t="shared" si="40"/>
        <v>3.92</v>
      </c>
      <c r="Y209" s="49"/>
      <c r="Z209" s="50">
        <f t="shared" si="41"/>
        <v>4.1966666666666663</v>
      </c>
      <c r="AA209" s="51">
        <f t="shared" si="42"/>
        <v>-6.5925337569499476</v>
      </c>
      <c r="AB209" s="50">
        <f t="shared" si="43"/>
        <v>172.48</v>
      </c>
    </row>
    <row r="210" spans="1:28" ht="25.5" customHeight="1" x14ac:dyDescent="0.25">
      <c r="A210" s="53">
        <f t="shared" si="44"/>
        <v>201</v>
      </c>
      <c r="B210" s="65" t="s">
        <v>302</v>
      </c>
      <c r="C210" s="66" t="s">
        <v>47</v>
      </c>
      <c r="D210" s="67" t="s">
        <v>32</v>
      </c>
      <c r="E210" s="70">
        <v>92</v>
      </c>
      <c r="F210" s="45" t="s">
        <v>299</v>
      </c>
      <c r="G210" s="45" t="s">
        <v>26</v>
      </c>
      <c r="H210" s="46">
        <v>57.7</v>
      </c>
      <c r="I210" s="45" t="s">
        <v>27</v>
      </c>
      <c r="J210" s="47">
        <v>57.7</v>
      </c>
      <c r="K210" s="47">
        <f t="shared" si="36"/>
        <v>5308.4000000000005</v>
      </c>
      <c r="L210" s="45" t="s">
        <v>300</v>
      </c>
      <c r="M210" s="45" t="s">
        <v>26</v>
      </c>
      <c r="N210" s="46">
        <v>64.28</v>
      </c>
      <c r="O210" s="45" t="s">
        <v>27</v>
      </c>
      <c r="P210" s="47">
        <v>64.28</v>
      </c>
      <c r="Q210" s="47">
        <f t="shared" si="37"/>
        <v>5913.76</v>
      </c>
      <c r="R210" s="45" t="s">
        <v>301</v>
      </c>
      <c r="S210" s="45" t="s">
        <v>26</v>
      </c>
      <c r="T210" s="46">
        <v>67.62</v>
      </c>
      <c r="U210" s="45" t="s">
        <v>27</v>
      </c>
      <c r="V210" s="47">
        <f t="shared" si="38"/>
        <v>67.62</v>
      </c>
      <c r="W210" s="47">
        <f t="shared" si="39"/>
        <v>6221.0400000000009</v>
      </c>
      <c r="X210" s="48">
        <f t="shared" si="40"/>
        <v>57.7</v>
      </c>
      <c r="Y210" s="49"/>
      <c r="Z210" s="50">
        <f t="shared" si="41"/>
        <v>63.20000000000001</v>
      </c>
      <c r="AA210" s="51">
        <f t="shared" si="42"/>
        <v>-8.7025316455696355</v>
      </c>
      <c r="AB210" s="50">
        <f t="shared" si="43"/>
        <v>5308.4000000000005</v>
      </c>
    </row>
    <row r="211" spans="1:28" ht="25.5" customHeight="1" x14ac:dyDescent="0.25">
      <c r="A211" s="53">
        <f t="shared" si="44"/>
        <v>202</v>
      </c>
      <c r="B211" s="65" t="s">
        <v>303</v>
      </c>
      <c r="C211" s="66" t="s">
        <v>47</v>
      </c>
      <c r="D211" s="67" t="s">
        <v>32</v>
      </c>
      <c r="E211" s="70">
        <v>135</v>
      </c>
      <c r="F211" s="45" t="s">
        <v>299</v>
      </c>
      <c r="G211" s="45" t="s">
        <v>26</v>
      </c>
      <c r="H211" s="46">
        <v>151.07</v>
      </c>
      <c r="I211" s="45" t="s">
        <v>27</v>
      </c>
      <c r="J211" s="47">
        <v>151.07</v>
      </c>
      <c r="K211" s="47">
        <f t="shared" si="36"/>
        <v>20394.45</v>
      </c>
      <c r="L211" s="45" t="s">
        <v>300</v>
      </c>
      <c r="M211" s="45" t="s">
        <v>26</v>
      </c>
      <c r="N211" s="46">
        <v>158.77000000000001</v>
      </c>
      <c r="O211" s="45" t="s">
        <v>27</v>
      </c>
      <c r="P211" s="47">
        <v>158.77000000000001</v>
      </c>
      <c r="Q211" s="47">
        <f t="shared" si="37"/>
        <v>21433.95</v>
      </c>
      <c r="R211" s="45" t="s">
        <v>301</v>
      </c>
      <c r="S211" s="45" t="s">
        <v>26</v>
      </c>
      <c r="T211" s="46">
        <v>171.15</v>
      </c>
      <c r="U211" s="45" t="s">
        <v>27</v>
      </c>
      <c r="V211" s="47">
        <f t="shared" si="38"/>
        <v>171.15</v>
      </c>
      <c r="W211" s="47">
        <f t="shared" si="39"/>
        <v>23105.25</v>
      </c>
      <c r="X211" s="48">
        <f t="shared" si="40"/>
        <v>151.07</v>
      </c>
      <c r="Y211" s="49"/>
      <c r="Z211" s="50">
        <f t="shared" si="41"/>
        <v>160.33000000000001</v>
      </c>
      <c r="AA211" s="51">
        <f t="shared" si="42"/>
        <v>-5.7755878500592672</v>
      </c>
      <c r="AB211" s="50">
        <f t="shared" si="43"/>
        <v>20394.45</v>
      </c>
    </row>
    <row r="212" spans="1:28" ht="25.5" customHeight="1" x14ac:dyDescent="0.25">
      <c r="A212" s="53">
        <f t="shared" si="44"/>
        <v>203</v>
      </c>
      <c r="B212" s="65" t="s">
        <v>304</v>
      </c>
      <c r="C212" s="66" t="s">
        <v>47</v>
      </c>
      <c r="D212" s="67" t="s">
        <v>32</v>
      </c>
      <c r="E212" s="70">
        <v>72</v>
      </c>
      <c r="F212" s="45" t="s">
        <v>299</v>
      </c>
      <c r="G212" s="45" t="s">
        <v>26</v>
      </c>
      <c r="H212" s="46">
        <v>153.31</v>
      </c>
      <c r="I212" s="45" t="s">
        <v>27</v>
      </c>
      <c r="J212" s="47">
        <v>153.31</v>
      </c>
      <c r="K212" s="47">
        <f t="shared" si="36"/>
        <v>11038.32</v>
      </c>
      <c r="L212" s="45" t="s">
        <v>300</v>
      </c>
      <c r="M212" s="45" t="s">
        <v>26</v>
      </c>
      <c r="N212" s="46">
        <v>168.36</v>
      </c>
      <c r="O212" s="45" t="s">
        <v>27</v>
      </c>
      <c r="P212" s="47">
        <v>168.36</v>
      </c>
      <c r="Q212" s="47">
        <f t="shared" si="37"/>
        <v>12121.920000000002</v>
      </c>
      <c r="R212" s="45" t="s">
        <v>301</v>
      </c>
      <c r="S212" s="45" t="s">
        <v>26</v>
      </c>
      <c r="T212" s="46">
        <v>175.94</v>
      </c>
      <c r="U212" s="45" t="s">
        <v>27</v>
      </c>
      <c r="V212" s="47">
        <f t="shared" si="38"/>
        <v>175.94</v>
      </c>
      <c r="W212" s="47">
        <f t="shared" si="39"/>
        <v>12667.68</v>
      </c>
      <c r="X212" s="48">
        <f t="shared" si="40"/>
        <v>153.31</v>
      </c>
      <c r="Y212" s="49"/>
      <c r="Z212" s="50">
        <f t="shared" si="41"/>
        <v>165.87</v>
      </c>
      <c r="AA212" s="51">
        <f t="shared" si="42"/>
        <v>-7.5721950925423585</v>
      </c>
      <c r="AB212" s="50">
        <f t="shared" si="43"/>
        <v>11038.32</v>
      </c>
    </row>
    <row r="213" spans="1:28" ht="25.5" customHeight="1" x14ac:dyDescent="0.25">
      <c r="A213" s="53">
        <f t="shared" si="44"/>
        <v>204</v>
      </c>
      <c r="B213" s="65" t="s">
        <v>305</v>
      </c>
      <c r="C213" s="66" t="s">
        <v>47</v>
      </c>
      <c r="D213" s="67" t="s">
        <v>32</v>
      </c>
      <c r="E213" s="70">
        <v>72</v>
      </c>
      <c r="F213" s="45" t="s">
        <v>299</v>
      </c>
      <c r="G213" s="45" t="s">
        <v>26</v>
      </c>
      <c r="H213" s="46">
        <v>471.24</v>
      </c>
      <c r="I213" s="45" t="s">
        <v>27</v>
      </c>
      <c r="J213" s="47">
        <v>471.24</v>
      </c>
      <c r="K213" s="47">
        <f t="shared" si="36"/>
        <v>33929.279999999999</v>
      </c>
      <c r="L213" s="45" t="s">
        <v>300</v>
      </c>
      <c r="M213" s="45" t="s">
        <v>26</v>
      </c>
      <c r="N213" s="46">
        <v>487.73</v>
      </c>
      <c r="O213" s="45" t="s">
        <v>27</v>
      </c>
      <c r="P213" s="47">
        <v>487.73</v>
      </c>
      <c r="Q213" s="47">
        <f t="shared" si="37"/>
        <v>35116.559999999998</v>
      </c>
      <c r="R213" s="45" t="s">
        <v>301</v>
      </c>
      <c r="S213" s="45" t="s">
        <v>26</v>
      </c>
      <c r="T213" s="46">
        <v>526.75</v>
      </c>
      <c r="U213" s="45" t="s">
        <v>27</v>
      </c>
      <c r="V213" s="47">
        <f t="shared" si="38"/>
        <v>526.75</v>
      </c>
      <c r="W213" s="47">
        <f t="shared" si="39"/>
        <v>37926</v>
      </c>
      <c r="X213" s="48">
        <f t="shared" si="40"/>
        <v>471.24</v>
      </c>
      <c r="Y213" s="49"/>
      <c r="Z213" s="50">
        <f t="shared" si="41"/>
        <v>495.24</v>
      </c>
      <c r="AA213" s="51">
        <f t="shared" si="42"/>
        <v>-4.8461352071722814</v>
      </c>
      <c r="AB213" s="50">
        <f t="shared" si="43"/>
        <v>33929.279999999999</v>
      </c>
    </row>
    <row r="214" spans="1:28" ht="25.5" customHeight="1" x14ac:dyDescent="0.25">
      <c r="A214" s="53">
        <f t="shared" si="44"/>
        <v>205</v>
      </c>
      <c r="B214" s="65" t="s">
        <v>306</v>
      </c>
      <c r="C214" s="66" t="s">
        <v>47</v>
      </c>
      <c r="D214" s="67" t="s">
        <v>32</v>
      </c>
      <c r="E214" s="70">
        <v>30</v>
      </c>
      <c r="F214" s="45" t="s">
        <v>299</v>
      </c>
      <c r="G214" s="45" t="s">
        <v>26</v>
      </c>
      <c r="H214" s="46">
        <v>410.73</v>
      </c>
      <c r="I214" s="45" t="s">
        <v>27</v>
      </c>
      <c r="J214" s="47">
        <v>410.73</v>
      </c>
      <c r="K214" s="47">
        <f t="shared" si="36"/>
        <v>12321.900000000001</v>
      </c>
      <c r="L214" s="45" t="s">
        <v>300</v>
      </c>
      <c r="M214" s="45" t="s">
        <v>26</v>
      </c>
      <c r="N214" s="46">
        <v>460.02</v>
      </c>
      <c r="O214" s="45" t="s">
        <v>27</v>
      </c>
      <c r="P214" s="47">
        <v>460.02</v>
      </c>
      <c r="Q214" s="47">
        <f t="shared" si="37"/>
        <v>13800.599999999999</v>
      </c>
      <c r="R214" s="45" t="s">
        <v>301</v>
      </c>
      <c r="S214" s="45" t="s">
        <v>26</v>
      </c>
      <c r="T214" s="46">
        <v>487.16</v>
      </c>
      <c r="U214" s="45" t="s">
        <v>27</v>
      </c>
      <c r="V214" s="47">
        <f t="shared" si="38"/>
        <v>487.16</v>
      </c>
      <c r="W214" s="47">
        <f t="shared" si="39"/>
        <v>14614.800000000001</v>
      </c>
      <c r="X214" s="48">
        <f t="shared" si="40"/>
        <v>410.73</v>
      </c>
      <c r="Y214" s="49"/>
      <c r="Z214" s="50">
        <f t="shared" si="41"/>
        <v>452.63666666666671</v>
      </c>
      <c r="AA214" s="51">
        <f t="shared" si="42"/>
        <v>-9.2583455457283748</v>
      </c>
      <c r="AB214" s="50">
        <f t="shared" si="43"/>
        <v>12321.900000000001</v>
      </c>
    </row>
    <row r="215" spans="1:28" ht="25.5" customHeight="1" x14ac:dyDescent="0.25">
      <c r="A215" s="53">
        <f t="shared" si="44"/>
        <v>206</v>
      </c>
      <c r="B215" s="65" t="s">
        <v>307</v>
      </c>
      <c r="C215" s="66" t="s">
        <v>47</v>
      </c>
      <c r="D215" s="67" t="s">
        <v>32</v>
      </c>
      <c r="E215" s="70">
        <v>14</v>
      </c>
      <c r="F215" s="45" t="s">
        <v>299</v>
      </c>
      <c r="G215" s="45" t="s">
        <v>26</v>
      </c>
      <c r="H215" s="46">
        <v>326.55</v>
      </c>
      <c r="I215" s="45" t="s">
        <v>27</v>
      </c>
      <c r="J215" s="47">
        <v>326.55</v>
      </c>
      <c r="K215" s="47">
        <f t="shared" si="36"/>
        <v>4571.7</v>
      </c>
      <c r="L215" s="45" t="s">
        <v>300</v>
      </c>
      <c r="M215" s="45" t="s">
        <v>26</v>
      </c>
      <c r="N215" s="46">
        <v>347.1</v>
      </c>
      <c r="O215" s="45" t="s">
        <v>27</v>
      </c>
      <c r="P215" s="47">
        <v>347.1</v>
      </c>
      <c r="Q215" s="47">
        <f t="shared" si="37"/>
        <v>4859.4000000000005</v>
      </c>
      <c r="R215" s="45" t="s">
        <v>301</v>
      </c>
      <c r="S215" s="45" t="s">
        <v>26</v>
      </c>
      <c r="T215" s="46">
        <v>371.74</v>
      </c>
      <c r="U215" s="45" t="s">
        <v>27</v>
      </c>
      <c r="V215" s="47">
        <f t="shared" si="38"/>
        <v>371.74</v>
      </c>
      <c r="W215" s="47">
        <f t="shared" si="39"/>
        <v>5204.3600000000006</v>
      </c>
      <c r="X215" s="48">
        <f t="shared" si="40"/>
        <v>326.55</v>
      </c>
      <c r="Y215" s="49"/>
      <c r="Z215" s="50">
        <f t="shared" si="41"/>
        <v>348.46333333333337</v>
      </c>
      <c r="AA215" s="51">
        <f t="shared" si="42"/>
        <v>-6.2885621634031423</v>
      </c>
      <c r="AB215" s="50">
        <f t="shared" si="43"/>
        <v>4571.7</v>
      </c>
    </row>
    <row r="216" spans="1:28" ht="25.5" customHeight="1" x14ac:dyDescent="0.25">
      <c r="A216" s="53">
        <f t="shared" si="44"/>
        <v>207</v>
      </c>
      <c r="B216" s="65" t="s">
        <v>308</v>
      </c>
      <c r="C216" s="66" t="s">
        <v>23</v>
      </c>
      <c r="D216" s="76" t="s">
        <v>24</v>
      </c>
      <c r="E216" s="70">
        <v>2</v>
      </c>
      <c r="F216" s="45" t="s">
        <v>294</v>
      </c>
      <c r="G216" s="45" t="s">
        <v>26</v>
      </c>
      <c r="H216" s="46">
        <v>1640.3</v>
      </c>
      <c r="I216" s="45" t="s">
        <v>27</v>
      </c>
      <c r="J216" s="47">
        <v>1640.3</v>
      </c>
      <c r="K216" s="47">
        <f t="shared" si="36"/>
        <v>3280.6</v>
      </c>
      <c r="L216" s="45" t="s">
        <v>295</v>
      </c>
      <c r="M216" s="45" t="s">
        <v>26</v>
      </c>
      <c r="N216" s="46">
        <f>2001.17/1.22</f>
        <v>1640.3032786885246</v>
      </c>
      <c r="O216" s="45" t="s">
        <v>27</v>
      </c>
      <c r="P216" s="47">
        <f>2001.17/1.22</f>
        <v>1640.3032786885246</v>
      </c>
      <c r="Q216" s="47">
        <f t="shared" si="37"/>
        <v>3280.6065573770493</v>
      </c>
      <c r="R216" s="45" t="s">
        <v>296</v>
      </c>
      <c r="S216" s="45" t="s">
        <v>26</v>
      </c>
      <c r="T216" s="46">
        <v>1640.3</v>
      </c>
      <c r="U216" s="45" t="s">
        <v>27</v>
      </c>
      <c r="V216" s="47">
        <f t="shared" si="38"/>
        <v>1640.3</v>
      </c>
      <c r="W216" s="47">
        <f t="shared" si="39"/>
        <v>3280.6</v>
      </c>
      <c r="X216" s="48">
        <f t="shared" si="40"/>
        <v>1640.3</v>
      </c>
      <c r="Y216" s="49"/>
      <c r="Z216" s="50">
        <f t="shared" si="41"/>
        <v>1640.3010928961749</v>
      </c>
      <c r="AA216" s="51">
        <f t="shared" si="42"/>
        <v>-6.6627778252836833E-5</v>
      </c>
      <c r="AB216" s="50">
        <f t="shared" si="43"/>
        <v>3280.6</v>
      </c>
    </row>
    <row r="217" spans="1:28" ht="25.5" customHeight="1" x14ac:dyDescent="0.25">
      <c r="A217" s="53">
        <f t="shared" si="44"/>
        <v>208</v>
      </c>
      <c r="B217" s="65" t="s">
        <v>309</v>
      </c>
      <c r="C217" s="66" t="s">
        <v>23</v>
      </c>
      <c r="D217" s="76" t="s">
        <v>24</v>
      </c>
      <c r="E217" s="70">
        <v>2</v>
      </c>
      <c r="F217" s="45" t="s">
        <v>294</v>
      </c>
      <c r="G217" s="45" t="s">
        <v>26</v>
      </c>
      <c r="H217" s="46">
        <v>957.66</v>
      </c>
      <c r="I217" s="45" t="s">
        <v>27</v>
      </c>
      <c r="J217" s="47">
        <v>957.66</v>
      </c>
      <c r="K217" s="47">
        <f t="shared" si="36"/>
        <v>1915.32</v>
      </c>
      <c r="L217" s="45" t="s">
        <v>295</v>
      </c>
      <c r="M217" s="45" t="s">
        <v>26</v>
      </c>
      <c r="N217" s="46">
        <f>1168.35/1.22</f>
        <v>957.6639344262295</v>
      </c>
      <c r="O217" s="45" t="s">
        <v>27</v>
      </c>
      <c r="P217" s="47">
        <f>1168.35/1.22</f>
        <v>957.6639344262295</v>
      </c>
      <c r="Q217" s="47">
        <f t="shared" si="37"/>
        <v>1915.327868852459</v>
      </c>
      <c r="R217" s="45" t="s">
        <v>296</v>
      </c>
      <c r="S217" s="45" t="s">
        <v>26</v>
      </c>
      <c r="T217" s="46">
        <v>957.66</v>
      </c>
      <c r="U217" s="45" t="s">
        <v>27</v>
      </c>
      <c r="V217" s="47">
        <f t="shared" si="38"/>
        <v>957.66</v>
      </c>
      <c r="W217" s="47">
        <f t="shared" si="39"/>
        <v>1915.32</v>
      </c>
      <c r="X217" s="48">
        <f t="shared" si="40"/>
        <v>957.66</v>
      </c>
      <c r="Y217" s="49"/>
      <c r="Z217" s="50">
        <f t="shared" si="41"/>
        <v>957.66131147540989</v>
      </c>
      <c r="AA217" s="51">
        <f t="shared" si="42"/>
        <v>-1.3694563978106089E-4</v>
      </c>
      <c r="AB217" s="50">
        <f t="shared" si="43"/>
        <v>1915.32</v>
      </c>
    </row>
    <row r="218" spans="1:28" ht="25.5" customHeight="1" x14ac:dyDescent="0.25">
      <c r="A218" s="53">
        <f t="shared" si="44"/>
        <v>209</v>
      </c>
      <c r="B218" s="65" t="s">
        <v>310</v>
      </c>
      <c r="C218" s="66" t="s">
        <v>23</v>
      </c>
      <c r="D218" s="67" t="s">
        <v>251</v>
      </c>
      <c r="E218" s="70">
        <v>12</v>
      </c>
      <c r="F218" s="45" t="s">
        <v>294</v>
      </c>
      <c r="G218" s="45" t="s">
        <v>26</v>
      </c>
      <c r="H218" s="46">
        <v>323.06</v>
      </c>
      <c r="I218" s="45" t="s">
        <v>27</v>
      </c>
      <c r="J218" s="47">
        <v>323.06</v>
      </c>
      <c r="K218" s="47">
        <f t="shared" si="36"/>
        <v>3876.7200000000003</v>
      </c>
      <c r="L218" s="45" t="s">
        <v>295</v>
      </c>
      <c r="M218" s="45" t="s">
        <v>26</v>
      </c>
      <c r="N218" s="46">
        <f>394.13/1.22</f>
        <v>323.05737704918033</v>
      </c>
      <c r="O218" s="45" t="s">
        <v>27</v>
      </c>
      <c r="P218" s="47">
        <f>394.13/1.22</f>
        <v>323.05737704918033</v>
      </c>
      <c r="Q218" s="47">
        <f t="shared" si="37"/>
        <v>3876.688524590164</v>
      </c>
      <c r="R218" s="45" t="s">
        <v>296</v>
      </c>
      <c r="S218" s="45" t="s">
        <v>26</v>
      </c>
      <c r="T218" s="46">
        <v>323.06</v>
      </c>
      <c r="U218" s="45" t="s">
        <v>27</v>
      </c>
      <c r="V218" s="47">
        <f t="shared" si="38"/>
        <v>323.06</v>
      </c>
      <c r="W218" s="47">
        <f t="shared" si="39"/>
        <v>3876.7200000000003</v>
      </c>
      <c r="X218" s="48">
        <f t="shared" si="40"/>
        <v>323.05737704918033</v>
      </c>
      <c r="Y218" s="49"/>
      <c r="Z218" s="50">
        <f t="shared" si="41"/>
        <v>323.05912568306007</v>
      </c>
      <c r="AA218" s="51">
        <f t="shared" si="42"/>
        <v>-5.4127363715394949E-4</v>
      </c>
      <c r="AB218" s="50">
        <f t="shared" si="43"/>
        <v>3876.688524590164</v>
      </c>
    </row>
    <row r="219" spans="1:28" ht="25.5" customHeight="1" x14ac:dyDescent="0.25">
      <c r="A219" s="53">
        <f t="shared" si="44"/>
        <v>210</v>
      </c>
      <c r="B219" s="65" t="s">
        <v>311</v>
      </c>
      <c r="C219" s="66" t="s">
        <v>23</v>
      </c>
      <c r="D219" s="67" t="s">
        <v>251</v>
      </c>
      <c r="E219" s="70">
        <v>8</v>
      </c>
      <c r="F219" s="45" t="s">
        <v>294</v>
      </c>
      <c r="G219" s="45" t="s">
        <v>26</v>
      </c>
      <c r="H219" s="46">
        <v>388.78</v>
      </c>
      <c r="I219" s="45" t="s">
        <v>27</v>
      </c>
      <c r="J219" s="47">
        <v>388.78</v>
      </c>
      <c r="K219" s="47">
        <f t="shared" si="36"/>
        <v>3110.24</v>
      </c>
      <c r="L219" s="45" t="s">
        <v>295</v>
      </c>
      <c r="M219" s="45" t="s">
        <v>26</v>
      </c>
      <c r="N219" s="46">
        <f>474.31/1.22</f>
        <v>388.77868852459017</v>
      </c>
      <c r="O219" s="45" t="s">
        <v>27</v>
      </c>
      <c r="P219" s="47">
        <f>474.31/1.22</f>
        <v>388.77868852459017</v>
      </c>
      <c r="Q219" s="47">
        <f t="shared" si="37"/>
        <v>3110.2295081967213</v>
      </c>
      <c r="R219" s="45" t="s">
        <v>296</v>
      </c>
      <c r="S219" s="45" t="s">
        <v>26</v>
      </c>
      <c r="T219" s="46">
        <v>388.78</v>
      </c>
      <c r="U219" s="45" t="s">
        <v>27</v>
      </c>
      <c r="V219" s="47">
        <f t="shared" si="38"/>
        <v>388.78</v>
      </c>
      <c r="W219" s="47">
        <f t="shared" si="39"/>
        <v>3110.24</v>
      </c>
      <c r="X219" s="48">
        <f t="shared" si="40"/>
        <v>388.77868852459017</v>
      </c>
      <c r="Y219" s="49"/>
      <c r="Z219" s="50">
        <f t="shared" si="41"/>
        <v>388.77956284152998</v>
      </c>
      <c r="AA219" s="51">
        <f t="shared" si="42"/>
        <v>-2.2488757727501252E-4</v>
      </c>
      <c r="AB219" s="50">
        <f t="shared" si="43"/>
        <v>3110.2295081967213</v>
      </c>
    </row>
    <row r="220" spans="1:28" ht="25.5" customHeight="1" x14ac:dyDescent="0.25">
      <c r="A220" s="53">
        <f t="shared" si="44"/>
        <v>211</v>
      </c>
      <c r="B220" s="65" t="s">
        <v>312</v>
      </c>
      <c r="C220" s="66" t="s">
        <v>23</v>
      </c>
      <c r="D220" s="67" t="s">
        <v>32</v>
      </c>
      <c r="E220" s="70">
        <v>22</v>
      </c>
      <c r="F220" s="45" t="s">
        <v>294</v>
      </c>
      <c r="G220" s="45" t="s">
        <v>26</v>
      </c>
      <c r="H220" s="46">
        <v>479.28</v>
      </c>
      <c r="I220" s="45" t="s">
        <v>27</v>
      </c>
      <c r="J220" s="47">
        <v>479.28</v>
      </c>
      <c r="K220" s="47">
        <f t="shared" si="36"/>
        <v>10544.16</v>
      </c>
      <c r="L220" s="45" t="s">
        <v>295</v>
      </c>
      <c r="M220" s="45" t="s">
        <v>26</v>
      </c>
      <c r="N220" s="46">
        <f>584.72/1.22</f>
        <v>479.27868852459022</v>
      </c>
      <c r="O220" s="45" t="s">
        <v>27</v>
      </c>
      <c r="P220" s="47">
        <f>584.72/1.22</f>
        <v>479.27868852459022</v>
      </c>
      <c r="Q220" s="47">
        <f t="shared" si="37"/>
        <v>10544.131147540986</v>
      </c>
      <c r="R220" s="45" t="s">
        <v>296</v>
      </c>
      <c r="S220" s="45" t="s">
        <v>26</v>
      </c>
      <c r="T220" s="46">
        <v>479.28</v>
      </c>
      <c r="U220" s="45" t="s">
        <v>27</v>
      </c>
      <c r="V220" s="47">
        <f t="shared" si="38"/>
        <v>479.28</v>
      </c>
      <c r="W220" s="47">
        <f t="shared" si="39"/>
        <v>10544.16</v>
      </c>
      <c r="X220" s="48">
        <f t="shared" si="40"/>
        <v>479.27868852459022</v>
      </c>
      <c r="Y220" s="49"/>
      <c r="Z220" s="50">
        <f t="shared" si="41"/>
        <v>479.27956284153009</v>
      </c>
      <c r="AA220" s="51">
        <f t="shared" si="42"/>
        <v>-1.8242316335204123E-4</v>
      </c>
      <c r="AB220" s="50">
        <f t="shared" si="43"/>
        <v>10544.131147540986</v>
      </c>
    </row>
    <row r="221" spans="1:28" ht="49.5" customHeight="1" x14ac:dyDescent="0.25">
      <c r="A221" s="53">
        <f t="shared" si="44"/>
        <v>212</v>
      </c>
      <c r="B221" s="65" t="s">
        <v>313</v>
      </c>
      <c r="C221" s="66" t="s">
        <v>47</v>
      </c>
      <c r="D221" s="67" t="s">
        <v>32</v>
      </c>
      <c r="E221" s="70">
        <v>8</v>
      </c>
      <c r="F221" s="45" t="s">
        <v>299</v>
      </c>
      <c r="G221" s="45" t="s">
        <v>26</v>
      </c>
      <c r="H221" s="46">
        <v>2538.6</v>
      </c>
      <c r="I221" s="45" t="s">
        <v>27</v>
      </c>
      <c r="J221" s="47">
        <v>2538.6</v>
      </c>
      <c r="K221" s="47">
        <f t="shared" si="36"/>
        <v>20308.8</v>
      </c>
      <c r="L221" s="45" t="s">
        <v>300</v>
      </c>
      <c r="M221" s="45" t="s">
        <v>26</v>
      </c>
      <c r="N221" s="46">
        <v>3535</v>
      </c>
      <c r="O221" s="45" t="s">
        <v>27</v>
      </c>
      <c r="P221" s="47">
        <v>3535</v>
      </c>
      <c r="Q221" s="47">
        <f t="shared" si="37"/>
        <v>28280</v>
      </c>
      <c r="R221" s="45" t="s">
        <v>301</v>
      </c>
      <c r="S221" s="45" t="s">
        <v>26</v>
      </c>
      <c r="T221" s="46">
        <v>3754.17</v>
      </c>
      <c r="U221" s="45" t="s">
        <v>27</v>
      </c>
      <c r="V221" s="47">
        <f t="shared" si="38"/>
        <v>3754.17</v>
      </c>
      <c r="W221" s="47">
        <f t="shared" si="39"/>
        <v>30033.360000000001</v>
      </c>
      <c r="X221" s="48">
        <f t="shared" si="40"/>
        <v>2538.6</v>
      </c>
      <c r="Y221" s="49"/>
      <c r="Z221" s="50">
        <f t="shared" si="41"/>
        <v>3275.9233333333336</v>
      </c>
      <c r="AA221" s="51">
        <f t="shared" si="42"/>
        <v>-22.507343985461617</v>
      </c>
      <c r="AB221" s="50">
        <f t="shared" si="43"/>
        <v>20308.8</v>
      </c>
    </row>
    <row r="222" spans="1:28" ht="49.5" customHeight="1" x14ac:dyDescent="0.25">
      <c r="A222" s="53">
        <f t="shared" si="44"/>
        <v>213</v>
      </c>
      <c r="B222" s="65" t="s">
        <v>314</v>
      </c>
      <c r="C222" s="66" t="s">
        <v>47</v>
      </c>
      <c r="D222" s="67" t="s">
        <v>32</v>
      </c>
      <c r="E222" s="70">
        <v>12</v>
      </c>
      <c r="F222" s="45" t="s">
        <v>299</v>
      </c>
      <c r="G222" s="45" t="s">
        <v>26</v>
      </c>
      <c r="H222" s="46">
        <v>2538.6</v>
      </c>
      <c r="I222" s="45" t="s">
        <v>27</v>
      </c>
      <c r="J222" s="47">
        <v>2538.6</v>
      </c>
      <c r="K222" s="47">
        <f t="shared" si="36"/>
        <v>30463.199999999997</v>
      </c>
      <c r="L222" s="45" t="s">
        <v>300</v>
      </c>
      <c r="M222" s="45" t="s">
        <v>26</v>
      </c>
      <c r="N222" s="46">
        <v>3535</v>
      </c>
      <c r="O222" s="45" t="s">
        <v>27</v>
      </c>
      <c r="P222" s="47">
        <v>3535</v>
      </c>
      <c r="Q222" s="47">
        <f t="shared" si="37"/>
        <v>42420</v>
      </c>
      <c r="R222" s="45" t="s">
        <v>301</v>
      </c>
      <c r="S222" s="45" t="s">
        <v>26</v>
      </c>
      <c r="T222" s="46">
        <v>3754.17</v>
      </c>
      <c r="U222" s="45" t="s">
        <v>27</v>
      </c>
      <c r="V222" s="47">
        <f t="shared" si="38"/>
        <v>3754.17</v>
      </c>
      <c r="W222" s="47">
        <f t="shared" si="39"/>
        <v>45050.04</v>
      </c>
      <c r="X222" s="48">
        <f t="shared" si="40"/>
        <v>2538.6</v>
      </c>
      <c r="Y222" s="49"/>
      <c r="Z222" s="50">
        <f t="shared" si="41"/>
        <v>3275.9233333333336</v>
      </c>
      <c r="AA222" s="51">
        <f t="shared" si="42"/>
        <v>-22.507343985461617</v>
      </c>
      <c r="AB222" s="50">
        <f t="shared" si="43"/>
        <v>30463.199999999997</v>
      </c>
    </row>
    <row r="223" spans="1:28" ht="49.5" customHeight="1" x14ac:dyDescent="0.25">
      <c r="A223" s="53">
        <f t="shared" si="44"/>
        <v>214</v>
      </c>
      <c r="B223" s="65" t="s">
        <v>315</v>
      </c>
      <c r="C223" s="66" t="s">
        <v>47</v>
      </c>
      <c r="D223" s="67" t="s">
        <v>32</v>
      </c>
      <c r="E223" s="70">
        <v>4</v>
      </c>
      <c r="F223" s="45" t="s">
        <v>299</v>
      </c>
      <c r="G223" s="45" t="s">
        <v>26</v>
      </c>
      <c r="H223" s="46">
        <v>3300</v>
      </c>
      <c r="I223" s="45" t="s">
        <v>27</v>
      </c>
      <c r="J223" s="47">
        <v>3300</v>
      </c>
      <c r="K223" s="47">
        <f t="shared" si="36"/>
        <v>13200</v>
      </c>
      <c r="L223" s="45" t="s">
        <v>300</v>
      </c>
      <c r="M223" s="45" t="s">
        <v>26</v>
      </c>
      <c r="N223" s="46">
        <v>3438.6</v>
      </c>
      <c r="O223" s="45" t="s">
        <v>27</v>
      </c>
      <c r="P223" s="47">
        <v>3438.6</v>
      </c>
      <c r="Q223" s="47">
        <f t="shared" si="37"/>
        <v>13754.4</v>
      </c>
      <c r="R223" s="45" t="s">
        <v>301</v>
      </c>
      <c r="S223" s="45" t="s">
        <v>26</v>
      </c>
      <c r="T223" s="46">
        <v>3607.09</v>
      </c>
      <c r="U223" s="45" t="s">
        <v>27</v>
      </c>
      <c r="V223" s="47">
        <f t="shared" si="38"/>
        <v>3607.09</v>
      </c>
      <c r="W223" s="47">
        <f t="shared" si="39"/>
        <v>14428.36</v>
      </c>
      <c r="X223" s="48">
        <f t="shared" si="40"/>
        <v>3300</v>
      </c>
      <c r="Y223" s="49"/>
      <c r="Z223" s="50">
        <f t="shared" si="41"/>
        <v>3448.5633333333335</v>
      </c>
      <c r="AA223" s="51">
        <f t="shared" si="42"/>
        <v>-4.3079775249403411</v>
      </c>
      <c r="AB223" s="50">
        <f t="shared" si="43"/>
        <v>13200</v>
      </c>
    </row>
    <row r="224" spans="1:28" ht="49.5" customHeight="1" x14ac:dyDescent="0.25">
      <c r="A224" s="53">
        <f t="shared" si="44"/>
        <v>215</v>
      </c>
      <c r="B224" s="65" t="s">
        <v>316</v>
      </c>
      <c r="C224" s="66" t="s">
        <v>47</v>
      </c>
      <c r="D224" s="67" t="s">
        <v>32</v>
      </c>
      <c r="E224" s="70">
        <v>6</v>
      </c>
      <c r="F224" s="45" t="s">
        <v>299</v>
      </c>
      <c r="G224" s="45" t="s">
        <v>26</v>
      </c>
      <c r="H224" s="46">
        <v>4928.5</v>
      </c>
      <c r="I224" s="45" t="s">
        <v>27</v>
      </c>
      <c r="J224" s="47">
        <v>4928.5</v>
      </c>
      <c r="K224" s="47">
        <f t="shared" si="36"/>
        <v>29571</v>
      </c>
      <c r="L224" s="45" t="s">
        <v>300</v>
      </c>
      <c r="M224" s="45" t="s">
        <v>26</v>
      </c>
      <c r="N224" s="46">
        <v>5445.99</v>
      </c>
      <c r="O224" s="45" t="s">
        <v>27</v>
      </c>
      <c r="P224" s="47">
        <v>5445.99</v>
      </c>
      <c r="Q224" s="47">
        <f t="shared" si="37"/>
        <v>32675.94</v>
      </c>
      <c r="R224" s="45" t="s">
        <v>301</v>
      </c>
      <c r="S224" s="45" t="s">
        <v>26</v>
      </c>
      <c r="T224" s="46">
        <v>5843.55</v>
      </c>
      <c r="U224" s="45" t="s">
        <v>27</v>
      </c>
      <c r="V224" s="47">
        <f t="shared" si="38"/>
        <v>5843.55</v>
      </c>
      <c r="W224" s="47">
        <f t="shared" si="39"/>
        <v>35061.300000000003</v>
      </c>
      <c r="X224" s="48">
        <f t="shared" si="40"/>
        <v>4928.5</v>
      </c>
      <c r="Y224" s="49"/>
      <c r="Z224" s="50">
        <f t="shared" si="41"/>
        <v>5406.0133333333333</v>
      </c>
      <c r="AA224" s="51">
        <f t="shared" si="42"/>
        <v>-8.8330032482346752</v>
      </c>
      <c r="AB224" s="50">
        <f t="shared" si="43"/>
        <v>29571</v>
      </c>
    </row>
    <row r="225" spans="1:28" ht="49.5" customHeight="1" x14ac:dyDescent="0.25">
      <c r="A225" s="53">
        <f t="shared" si="44"/>
        <v>216</v>
      </c>
      <c r="B225" s="65" t="s">
        <v>317</v>
      </c>
      <c r="C225" s="66" t="s">
        <v>47</v>
      </c>
      <c r="D225" s="67" t="s">
        <v>32</v>
      </c>
      <c r="E225" s="70">
        <v>10</v>
      </c>
      <c r="F225" s="45" t="s">
        <v>299</v>
      </c>
      <c r="G225" s="45" t="s">
        <v>26</v>
      </c>
      <c r="H225" s="46">
        <v>2412.6</v>
      </c>
      <c r="I225" s="45" t="s">
        <v>27</v>
      </c>
      <c r="J225" s="47">
        <v>2412.6</v>
      </c>
      <c r="K225" s="47">
        <f t="shared" si="36"/>
        <v>24126</v>
      </c>
      <c r="L225" s="45" t="s">
        <v>300</v>
      </c>
      <c r="M225" s="45" t="s">
        <v>26</v>
      </c>
      <c r="N225" s="46">
        <v>2579.0700000000002</v>
      </c>
      <c r="O225" s="45" t="s">
        <v>27</v>
      </c>
      <c r="P225" s="47">
        <v>2579.0700000000002</v>
      </c>
      <c r="Q225" s="47">
        <f t="shared" si="37"/>
        <v>25790.7</v>
      </c>
      <c r="R225" s="45" t="s">
        <v>301</v>
      </c>
      <c r="S225" s="45" t="s">
        <v>26</v>
      </c>
      <c r="T225" s="46">
        <v>2720.92</v>
      </c>
      <c r="U225" s="45" t="s">
        <v>27</v>
      </c>
      <c r="V225" s="47">
        <f t="shared" si="38"/>
        <v>2720.92</v>
      </c>
      <c r="W225" s="47">
        <f t="shared" si="39"/>
        <v>27209.200000000001</v>
      </c>
      <c r="X225" s="48">
        <f t="shared" si="40"/>
        <v>2412.6</v>
      </c>
      <c r="Y225" s="49"/>
      <c r="Z225" s="50">
        <f t="shared" si="41"/>
        <v>2570.8633333333332</v>
      </c>
      <c r="AA225" s="51">
        <f t="shared" si="42"/>
        <v>-6.1560383736202766</v>
      </c>
      <c r="AB225" s="50">
        <f t="shared" si="43"/>
        <v>24126</v>
      </c>
    </row>
    <row r="226" spans="1:28" ht="49.5" customHeight="1" x14ac:dyDescent="0.25">
      <c r="A226" s="53">
        <f t="shared" si="44"/>
        <v>217</v>
      </c>
      <c r="B226" s="65" t="s">
        <v>318</v>
      </c>
      <c r="C226" s="66" t="s">
        <v>47</v>
      </c>
      <c r="D226" s="67" t="s">
        <v>32</v>
      </c>
      <c r="E226" s="70">
        <v>2</v>
      </c>
      <c r="F226" s="45" t="s">
        <v>299</v>
      </c>
      <c r="G226" s="45" t="s">
        <v>26</v>
      </c>
      <c r="H226" s="46">
        <v>4839.87</v>
      </c>
      <c r="I226" s="45" t="s">
        <v>27</v>
      </c>
      <c r="J226" s="47">
        <v>4839.87</v>
      </c>
      <c r="K226" s="47">
        <f t="shared" si="36"/>
        <v>9679.74</v>
      </c>
      <c r="L226" s="45" t="s">
        <v>300</v>
      </c>
      <c r="M226" s="45" t="s">
        <v>26</v>
      </c>
      <c r="N226" s="46">
        <v>5410.97</v>
      </c>
      <c r="O226" s="45" t="s">
        <v>27</v>
      </c>
      <c r="P226" s="47">
        <v>5410.97</v>
      </c>
      <c r="Q226" s="47">
        <f t="shared" si="37"/>
        <v>10821.94</v>
      </c>
      <c r="R226" s="45" t="s">
        <v>301</v>
      </c>
      <c r="S226" s="45" t="s">
        <v>26</v>
      </c>
      <c r="T226" s="46">
        <v>5784.33</v>
      </c>
      <c r="U226" s="45" t="s">
        <v>27</v>
      </c>
      <c r="V226" s="47">
        <f t="shared" si="38"/>
        <v>5784.33</v>
      </c>
      <c r="W226" s="47">
        <f t="shared" si="39"/>
        <v>11568.66</v>
      </c>
      <c r="X226" s="48">
        <f t="shared" si="40"/>
        <v>4839.87</v>
      </c>
      <c r="Y226" s="49"/>
      <c r="Z226" s="50">
        <f t="shared" si="41"/>
        <v>5345.0566666666664</v>
      </c>
      <c r="AA226" s="51">
        <f t="shared" si="42"/>
        <v>-9.4514744776637798</v>
      </c>
      <c r="AB226" s="50">
        <f t="shared" si="43"/>
        <v>9679.74</v>
      </c>
    </row>
    <row r="227" spans="1:28" ht="49.5" customHeight="1" x14ac:dyDescent="0.25">
      <c r="A227" s="53">
        <f t="shared" si="44"/>
        <v>218</v>
      </c>
      <c r="B227" s="65" t="s">
        <v>319</v>
      </c>
      <c r="C227" s="66" t="s">
        <v>47</v>
      </c>
      <c r="D227" s="67" t="s">
        <v>32</v>
      </c>
      <c r="E227" s="70">
        <v>6</v>
      </c>
      <c r="F227" s="45" t="s">
        <v>299</v>
      </c>
      <c r="G227" s="45" t="s">
        <v>26</v>
      </c>
      <c r="H227" s="46">
        <v>6850.29</v>
      </c>
      <c r="I227" s="45" t="s">
        <v>27</v>
      </c>
      <c r="J227" s="47">
        <v>6850.29</v>
      </c>
      <c r="K227" s="47">
        <f t="shared" si="36"/>
        <v>41101.74</v>
      </c>
      <c r="L227" s="45" t="s">
        <v>300</v>
      </c>
      <c r="M227" s="45" t="s">
        <v>26</v>
      </c>
      <c r="N227" s="46">
        <v>7233.91</v>
      </c>
      <c r="O227" s="45" t="s">
        <v>27</v>
      </c>
      <c r="P227" s="47">
        <v>7233.91</v>
      </c>
      <c r="Q227" s="47">
        <f t="shared" si="37"/>
        <v>43403.46</v>
      </c>
      <c r="R227" s="45" t="s">
        <v>301</v>
      </c>
      <c r="S227" s="45" t="s">
        <v>26</v>
      </c>
      <c r="T227" s="46">
        <v>7790.92</v>
      </c>
      <c r="U227" s="45" t="s">
        <v>27</v>
      </c>
      <c r="V227" s="47">
        <f t="shared" si="38"/>
        <v>7790.92</v>
      </c>
      <c r="W227" s="47">
        <f t="shared" si="39"/>
        <v>46745.520000000004</v>
      </c>
      <c r="X227" s="48">
        <f t="shared" si="40"/>
        <v>6850.29</v>
      </c>
      <c r="Y227" s="49"/>
      <c r="Z227" s="50">
        <f t="shared" si="41"/>
        <v>7291.7066666666678</v>
      </c>
      <c r="AA227" s="51">
        <f t="shared" si="42"/>
        <v>-6.0536810769495304</v>
      </c>
      <c r="AB227" s="50">
        <f t="shared" si="43"/>
        <v>41101.74</v>
      </c>
    </row>
    <row r="228" spans="1:28" ht="25.5" customHeight="1" x14ac:dyDescent="0.25">
      <c r="A228" s="53">
        <f t="shared" si="44"/>
        <v>219</v>
      </c>
      <c r="B228" s="65" t="s">
        <v>320</v>
      </c>
      <c r="C228" s="66" t="s">
        <v>23</v>
      </c>
      <c r="D228" s="67" t="s">
        <v>32</v>
      </c>
      <c r="E228" s="70">
        <v>24</v>
      </c>
      <c r="F228" s="45" t="s">
        <v>294</v>
      </c>
      <c r="G228" s="45" t="s">
        <v>26</v>
      </c>
      <c r="H228" s="46">
        <v>1243.58</v>
      </c>
      <c r="I228" s="45" t="s">
        <v>27</v>
      </c>
      <c r="J228" s="47">
        <v>1243.58</v>
      </c>
      <c r="K228" s="47">
        <f t="shared" si="36"/>
        <v>29845.919999999998</v>
      </c>
      <c r="L228" s="45" t="s">
        <v>295</v>
      </c>
      <c r="M228" s="45" t="s">
        <v>26</v>
      </c>
      <c r="N228" s="46">
        <f>1517.17/1.22</f>
        <v>1243.5819672131149</v>
      </c>
      <c r="O228" s="45" t="s">
        <v>27</v>
      </c>
      <c r="P228" s="47">
        <f>1517.17/1.22</f>
        <v>1243.5819672131149</v>
      </c>
      <c r="Q228" s="47">
        <f t="shared" si="37"/>
        <v>29845.96721311476</v>
      </c>
      <c r="R228" s="45" t="s">
        <v>296</v>
      </c>
      <c r="S228" s="45" t="s">
        <v>26</v>
      </c>
      <c r="T228" s="46">
        <v>1243.58</v>
      </c>
      <c r="U228" s="45" t="s">
        <v>27</v>
      </c>
      <c r="V228" s="47">
        <f t="shared" si="38"/>
        <v>1243.58</v>
      </c>
      <c r="W228" s="47">
        <f t="shared" si="39"/>
        <v>29845.919999999998</v>
      </c>
      <c r="X228" s="48">
        <f t="shared" si="40"/>
        <v>1243.58</v>
      </c>
      <c r="Y228" s="49"/>
      <c r="Z228" s="50">
        <f t="shared" si="41"/>
        <v>1243.5806557377048</v>
      </c>
      <c r="AA228" s="51">
        <f t="shared" si="42"/>
        <v>-5.272980901338542E-5</v>
      </c>
      <c r="AB228" s="50">
        <f t="shared" si="43"/>
        <v>29845.919999999998</v>
      </c>
    </row>
    <row r="229" spans="1:28" ht="25.5" customHeight="1" x14ac:dyDescent="0.25">
      <c r="A229" s="53">
        <f t="shared" si="44"/>
        <v>220</v>
      </c>
      <c r="B229" s="65" t="s">
        <v>321</v>
      </c>
      <c r="C229" s="66" t="s">
        <v>23</v>
      </c>
      <c r="D229" s="67" t="s">
        <v>32</v>
      </c>
      <c r="E229" s="70">
        <v>70</v>
      </c>
      <c r="F229" s="45" t="s">
        <v>294</v>
      </c>
      <c r="G229" s="45" t="s">
        <v>26</v>
      </c>
      <c r="H229" s="46">
        <v>10893.61</v>
      </c>
      <c r="I229" s="45" t="s">
        <v>27</v>
      </c>
      <c r="J229" s="47">
        <v>10893.61</v>
      </c>
      <c r="K229" s="47">
        <f t="shared" si="36"/>
        <v>762552.70000000007</v>
      </c>
      <c r="L229" s="45" t="s">
        <v>295</v>
      </c>
      <c r="M229" s="45" t="s">
        <v>26</v>
      </c>
      <c r="N229" s="46">
        <f>13290.2/1.22</f>
        <v>10893.60655737705</v>
      </c>
      <c r="O229" s="45" t="s">
        <v>27</v>
      </c>
      <c r="P229" s="47">
        <f>13290.2/1.22</f>
        <v>10893.60655737705</v>
      </c>
      <c r="Q229" s="47">
        <f t="shared" si="37"/>
        <v>762552.45901639352</v>
      </c>
      <c r="R229" s="45" t="s">
        <v>296</v>
      </c>
      <c r="S229" s="45" t="s">
        <v>26</v>
      </c>
      <c r="T229" s="46">
        <v>10893.61</v>
      </c>
      <c r="U229" s="45" t="s">
        <v>27</v>
      </c>
      <c r="V229" s="47">
        <f t="shared" si="38"/>
        <v>10893.61</v>
      </c>
      <c r="W229" s="47">
        <f t="shared" si="39"/>
        <v>762552.70000000007</v>
      </c>
      <c r="X229" s="48">
        <f t="shared" si="40"/>
        <v>10893.60655737705</v>
      </c>
      <c r="Y229" s="49"/>
      <c r="Z229" s="50">
        <f t="shared" si="41"/>
        <v>10893.608852459018</v>
      </c>
      <c r="AA229" s="51">
        <f t="shared" si="42"/>
        <v>-2.1068151042413774E-5</v>
      </c>
      <c r="AB229" s="50">
        <f t="shared" si="43"/>
        <v>762552.45901639352</v>
      </c>
    </row>
    <row r="230" spans="1:28" ht="25.5" customHeight="1" x14ac:dyDescent="0.25">
      <c r="A230" s="53">
        <f t="shared" si="44"/>
        <v>221</v>
      </c>
      <c r="B230" s="65" t="s">
        <v>322</v>
      </c>
      <c r="C230" s="66" t="s">
        <v>23</v>
      </c>
      <c r="D230" s="67" t="s">
        <v>32</v>
      </c>
      <c r="E230" s="70">
        <v>720</v>
      </c>
      <c r="F230" s="45" t="s">
        <v>294</v>
      </c>
      <c r="G230" s="45" t="s">
        <v>26</v>
      </c>
      <c r="H230" s="46">
        <v>16.239999999999998</v>
      </c>
      <c r="I230" s="45" t="s">
        <v>27</v>
      </c>
      <c r="J230" s="47">
        <v>16.239999999999998</v>
      </c>
      <c r="K230" s="47">
        <f t="shared" si="36"/>
        <v>11692.8</v>
      </c>
      <c r="L230" s="45" t="s">
        <v>295</v>
      </c>
      <c r="M230" s="45" t="s">
        <v>26</v>
      </c>
      <c r="N230" s="46">
        <f>19.81/1.22</f>
        <v>16.237704918032787</v>
      </c>
      <c r="O230" s="45" t="s">
        <v>27</v>
      </c>
      <c r="P230" s="47">
        <f>19.81/1.22</f>
        <v>16.237704918032787</v>
      </c>
      <c r="Q230" s="47">
        <f t="shared" si="37"/>
        <v>11691.147540983606</v>
      </c>
      <c r="R230" s="45" t="s">
        <v>296</v>
      </c>
      <c r="S230" s="45" t="s">
        <v>26</v>
      </c>
      <c r="T230" s="46">
        <v>16.239999999999998</v>
      </c>
      <c r="U230" s="45" t="s">
        <v>27</v>
      </c>
      <c r="V230" s="47">
        <f t="shared" si="38"/>
        <v>16.239999999999998</v>
      </c>
      <c r="W230" s="47">
        <f t="shared" si="39"/>
        <v>11692.8</v>
      </c>
      <c r="X230" s="48">
        <f t="shared" si="40"/>
        <v>16.237704918032787</v>
      </c>
      <c r="Y230" s="49"/>
      <c r="Z230" s="50">
        <f t="shared" si="41"/>
        <v>16.239234972677593</v>
      </c>
      <c r="AA230" s="51">
        <f t="shared" si="42"/>
        <v>-9.421962594799993E-3</v>
      </c>
      <c r="AB230" s="50">
        <f t="shared" si="43"/>
        <v>11691.147540983606</v>
      </c>
    </row>
    <row r="231" spans="1:28" ht="25.5" customHeight="1" x14ac:dyDescent="0.25">
      <c r="A231" s="53">
        <f t="shared" si="44"/>
        <v>222</v>
      </c>
      <c r="B231" s="65" t="s">
        <v>323</v>
      </c>
      <c r="C231" s="66" t="s">
        <v>47</v>
      </c>
      <c r="D231" s="67" t="s">
        <v>251</v>
      </c>
      <c r="E231" s="70">
        <v>1</v>
      </c>
      <c r="F231" s="45" t="s">
        <v>299</v>
      </c>
      <c r="G231" s="45" t="s">
        <v>26</v>
      </c>
      <c r="H231" s="46">
        <v>307</v>
      </c>
      <c r="I231" s="45" t="s">
        <v>27</v>
      </c>
      <c r="J231" s="47">
        <v>307</v>
      </c>
      <c r="K231" s="47">
        <f t="shared" si="36"/>
        <v>307</v>
      </c>
      <c r="L231" s="45" t="s">
        <v>300</v>
      </c>
      <c r="M231" s="45" t="s">
        <v>26</v>
      </c>
      <c r="N231" s="46">
        <v>332.48</v>
      </c>
      <c r="O231" s="45" t="s">
        <v>27</v>
      </c>
      <c r="P231" s="47">
        <v>332.48</v>
      </c>
      <c r="Q231" s="47">
        <f t="shared" si="37"/>
        <v>332.48</v>
      </c>
      <c r="R231" s="45" t="s">
        <v>301</v>
      </c>
      <c r="S231" s="45" t="s">
        <v>26</v>
      </c>
      <c r="T231" s="46">
        <v>346.44</v>
      </c>
      <c r="U231" s="45" t="s">
        <v>27</v>
      </c>
      <c r="V231" s="47">
        <f t="shared" si="38"/>
        <v>346.44</v>
      </c>
      <c r="W231" s="47">
        <f t="shared" si="39"/>
        <v>346.44</v>
      </c>
      <c r="X231" s="48">
        <f t="shared" si="40"/>
        <v>307</v>
      </c>
      <c r="Y231" s="49"/>
      <c r="Z231" s="50">
        <f t="shared" si="41"/>
        <v>328.64000000000004</v>
      </c>
      <c r="AA231" s="51">
        <f t="shared" si="42"/>
        <v>-6.5847127555988436</v>
      </c>
      <c r="AB231" s="50">
        <f t="shared" si="43"/>
        <v>307</v>
      </c>
    </row>
    <row r="232" spans="1:28" ht="25.5" customHeight="1" x14ac:dyDescent="0.25">
      <c r="A232" s="53">
        <f t="shared" si="44"/>
        <v>223</v>
      </c>
      <c r="B232" s="65" t="s">
        <v>324</v>
      </c>
      <c r="C232" s="66" t="s">
        <v>47</v>
      </c>
      <c r="D232" s="67" t="s">
        <v>251</v>
      </c>
      <c r="E232" s="70">
        <v>13</v>
      </c>
      <c r="F232" s="45" t="s">
        <v>299</v>
      </c>
      <c r="G232" s="45" t="s">
        <v>26</v>
      </c>
      <c r="H232" s="46">
        <v>793</v>
      </c>
      <c r="I232" s="45" t="s">
        <v>27</v>
      </c>
      <c r="J232" s="47">
        <v>793</v>
      </c>
      <c r="K232" s="47">
        <f t="shared" si="36"/>
        <v>10309</v>
      </c>
      <c r="L232" s="45" t="s">
        <v>300</v>
      </c>
      <c r="M232" s="45" t="s">
        <v>26</v>
      </c>
      <c r="N232" s="46">
        <v>830.27</v>
      </c>
      <c r="O232" s="45" t="s">
        <v>27</v>
      </c>
      <c r="P232" s="47">
        <v>830.27</v>
      </c>
      <c r="Q232" s="47">
        <f t="shared" si="37"/>
        <v>10793.51</v>
      </c>
      <c r="R232" s="45" t="s">
        <v>301</v>
      </c>
      <c r="S232" s="45" t="s">
        <v>26</v>
      </c>
      <c r="T232" s="46">
        <v>878.43</v>
      </c>
      <c r="U232" s="45" t="s">
        <v>27</v>
      </c>
      <c r="V232" s="47">
        <f t="shared" si="38"/>
        <v>878.43</v>
      </c>
      <c r="W232" s="47">
        <f t="shared" si="39"/>
        <v>11419.59</v>
      </c>
      <c r="X232" s="48">
        <f t="shared" si="40"/>
        <v>793</v>
      </c>
      <c r="Y232" s="49"/>
      <c r="Z232" s="50">
        <f t="shared" si="41"/>
        <v>833.9</v>
      </c>
      <c r="AA232" s="51">
        <f t="shared" si="42"/>
        <v>-4.9046648279170171</v>
      </c>
      <c r="AB232" s="50">
        <f t="shared" si="43"/>
        <v>10309</v>
      </c>
    </row>
    <row r="233" spans="1:28" ht="25.5" customHeight="1" x14ac:dyDescent="0.25">
      <c r="A233" s="53">
        <f t="shared" si="44"/>
        <v>224</v>
      </c>
      <c r="B233" s="65" t="s">
        <v>325</v>
      </c>
      <c r="C233" s="66" t="s">
        <v>47</v>
      </c>
      <c r="D233" s="67" t="s">
        <v>251</v>
      </c>
      <c r="E233" s="70">
        <v>18</v>
      </c>
      <c r="F233" s="45" t="s">
        <v>299</v>
      </c>
      <c r="G233" s="45" t="s">
        <v>26</v>
      </c>
      <c r="H233" s="46">
        <v>1200</v>
      </c>
      <c r="I233" s="45" t="s">
        <v>27</v>
      </c>
      <c r="J233" s="47">
        <v>1200</v>
      </c>
      <c r="K233" s="47">
        <f t="shared" si="36"/>
        <v>21600</v>
      </c>
      <c r="L233" s="45" t="s">
        <v>300</v>
      </c>
      <c r="M233" s="45" t="s">
        <v>26</v>
      </c>
      <c r="N233" s="46">
        <v>1322.4</v>
      </c>
      <c r="O233" s="45" t="s">
        <v>27</v>
      </c>
      <c r="P233" s="47">
        <v>1322.4</v>
      </c>
      <c r="Q233" s="47">
        <f t="shared" si="37"/>
        <v>23803.200000000001</v>
      </c>
      <c r="R233" s="45" t="s">
        <v>301</v>
      </c>
      <c r="S233" s="45" t="s">
        <v>26</v>
      </c>
      <c r="T233" s="46">
        <v>1405.71</v>
      </c>
      <c r="U233" s="45" t="s">
        <v>27</v>
      </c>
      <c r="V233" s="47">
        <f t="shared" si="38"/>
        <v>1405.71</v>
      </c>
      <c r="W233" s="47">
        <f t="shared" si="39"/>
        <v>25302.78</v>
      </c>
      <c r="X233" s="48">
        <f t="shared" si="40"/>
        <v>1200</v>
      </c>
      <c r="Y233" s="49"/>
      <c r="Z233" s="50">
        <f t="shared" si="41"/>
        <v>1309.3700000000001</v>
      </c>
      <c r="AA233" s="51">
        <f t="shared" si="42"/>
        <v>-8.3528719918739682</v>
      </c>
      <c r="AB233" s="50">
        <f t="shared" si="43"/>
        <v>21600</v>
      </c>
    </row>
    <row r="234" spans="1:28" ht="25.5" customHeight="1" x14ac:dyDescent="0.25">
      <c r="A234" s="53">
        <f t="shared" si="44"/>
        <v>225</v>
      </c>
      <c r="B234" s="65" t="s">
        <v>326</v>
      </c>
      <c r="C234" s="66" t="s">
        <v>23</v>
      </c>
      <c r="D234" s="67" t="s">
        <v>48</v>
      </c>
      <c r="E234" s="70">
        <v>1</v>
      </c>
      <c r="F234" s="45" t="s">
        <v>294</v>
      </c>
      <c r="G234" s="45" t="s">
        <v>26</v>
      </c>
      <c r="H234" s="46">
        <v>1946.66</v>
      </c>
      <c r="I234" s="45" t="s">
        <v>27</v>
      </c>
      <c r="J234" s="47">
        <v>1946.66</v>
      </c>
      <c r="K234" s="47">
        <f t="shared" si="36"/>
        <v>1946.66</v>
      </c>
      <c r="L234" s="45" t="s">
        <v>295</v>
      </c>
      <c r="M234" s="45" t="s">
        <v>26</v>
      </c>
      <c r="N234" s="46">
        <f>2374.93/1.22</f>
        <v>1946.6639344262294</v>
      </c>
      <c r="O234" s="45" t="s">
        <v>27</v>
      </c>
      <c r="P234" s="47">
        <f>2374.93/1.22</f>
        <v>1946.6639344262294</v>
      </c>
      <c r="Q234" s="47">
        <f t="shared" si="37"/>
        <v>1946.6639344262294</v>
      </c>
      <c r="R234" s="45" t="s">
        <v>296</v>
      </c>
      <c r="S234" s="45" t="s">
        <v>26</v>
      </c>
      <c r="T234" s="46">
        <v>1946.66</v>
      </c>
      <c r="U234" s="45" t="s">
        <v>27</v>
      </c>
      <c r="V234" s="47">
        <f t="shared" si="38"/>
        <v>1946.66</v>
      </c>
      <c r="W234" s="47">
        <f t="shared" si="39"/>
        <v>1946.66</v>
      </c>
      <c r="X234" s="48">
        <f t="shared" si="40"/>
        <v>1946.66</v>
      </c>
      <c r="Y234" s="49"/>
      <c r="Z234" s="50">
        <f t="shared" si="41"/>
        <v>1946.6613114754098</v>
      </c>
      <c r="AA234" s="51">
        <f t="shared" si="42"/>
        <v>-6.7370497475849334E-5</v>
      </c>
      <c r="AB234" s="50">
        <f t="shared" si="43"/>
        <v>1946.66</v>
      </c>
    </row>
    <row r="235" spans="1:28" ht="25.5" customHeight="1" x14ac:dyDescent="0.25">
      <c r="A235" s="53">
        <f t="shared" si="44"/>
        <v>226</v>
      </c>
      <c r="B235" s="65" t="s">
        <v>327</v>
      </c>
      <c r="C235" s="66" t="s">
        <v>47</v>
      </c>
      <c r="D235" s="67" t="s">
        <v>32</v>
      </c>
      <c r="E235" s="70">
        <v>22</v>
      </c>
      <c r="F235" s="45" t="s">
        <v>299</v>
      </c>
      <c r="G235" s="45" t="s">
        <v>26</v>
      </c>
      <c r="H235" s="46">
        <v>24.1</v>
      </c>
      <c r="I235" s="45" t="s">
        <v>27</v>
      </c>
      <c r="J235" s="47">
        <v>24.1</v>
      </c>
      <c r="K235" s="47">
        <f t="shared" si="36"/>
        <v>530.20000000000005</v>
      </c>
      <c r="L235" s="45" t="s">
        <v>300</v>
      </c>
      <c r="M235" s="45" t="s">
        <v>26</v>
      </c>
      <c r="N235" s="46">
        <v>25.04</v>
      </c>
      <c r="O235" s="45" t="s">
        <v>27</v>
      </c>
      <c r="P235" s="47">
        <v>25.04</v>
      </c>
      <c r="Q235" s="47">
        <f t="shared" si="37"/>
        <v>550.88</v>
      </c>
      <c r="R235" s="45" t="s">
        <v>301</v>
      </c>
      <c r="S235" s="45" t="s">
        <v>26</v>
      </c>
      <c r="T235" s="46">
        <v>26.24</v>
      </c>
      <c r="U235" s="45" t="s">
        <v>27</v>
      </c>
      <c r="V235" s="47">
        <f t="shared" si="38"/>
        <v>26.24</v>
      </c>
      <c r="W235" s="47">
        <f t="shared" si="39"/>
        <v>577.28</v>
      </c>
      <c r="X235" s="48">
        <f t="shared" si="40"/>
        <v>24.1</v>
      </c>
      <c r="Y235" s="49"/>
      <c r="Z235" s="50">
        <f t="shared" si="41"/>
        <v>25.126666666666665</v>
      </c>
      <c r="AA235" s="51">
        <f t="shared" si="42"/>
        <v>-4.085964446802862</v>
      </c>
      <c r="AB235" s="50">
        <f t="shared" si="43"/>
        <v>530.20000000000005</v>
      </c>
    </row>
    <row r="236" spans="1:28" ht="25.5" customHeight="1" x14ac:dyDescent="0.25">
      <c r="A236" s="53">
        <f t="shared" si="44"/>
        <v>227</v>
      </c>
      <c r="B236" s="65" t="s">
        <v>328</v>
      </c>
      <c r="C236" s="66" t="s">
        <v>23</v>
      </c>
      <c r="D236" s="76" t="s">
        <v>24</v>
      </c>
      <c r="E236" s="70">
        <v>78</v>
      </c>
      <c r="F236" s="45" t="s">
        <v>294</v>
      </c>
      <c r="G236" s="45" t="s">
        <v>26</v>
      </c>
      <c r="H236" s="46">
        <v>193.36</v>
      </c>
      <c r="I236" s="45" t="s">
        <v>27</v>
      </c>
      <c r="J236" s="47">
        <v>193.36</v>
      </c>
      <c r="K236" s="47">
        <f t="shared" si="36"/>
        <v>15082.080000000002</v>
      </c>
      <c r="L236" s="45" t="s">
        <v>295</v>
      </c>
      <c r="M236" s="45" t="s">
        <v>26</v>
      </c>
      <c r="N236" s="46">
        <f>235.9/1.22</f>
        <v>193.36065573770492</v>
      </c>
      <c r="O236" s="45" t="s">
        <v>27</v>
      </c>
      <c r="P236" s="47">
        <f>235.9/1.22</f>
        <v>193.36065573770492</v>
      </c>
      <c r="Q236" s="47">
        <f t="shared" si="37"/>
        <v>15082.131147540984</v>
      </c>
      <c r="R236" s="45" t="s">
        <v>296</v>
      </c>
      <c r="S236" s="45" t="s">
        <v>26</v>
      </c>
      <c r="T236" s="46">
        <v>193.36</v>
      </c>
      <c r="U236" s="45" t="s">
        <v>27</v>
      </c>
      <c r="V236" s="47">
        <f t="shared" si="38"/>
        <v>193.36</v>
      </c>
      <c r="W236" s="47">
        <f t="shared" si="39"/>
        <v>15082.080000000002</v>
      </c>
      <c r="X236" s="48">
        <f t="shared" si="40"/>
        <v>193.36</v>
      </c>
      <c r="Y236" s="49"/>
      <c r="Z236" s="50">
        <f t="shared" si="41"/>
        <v>193.36021857923501</v>
      </c>
      <c r="AA236" s="51">
        <f t="shared" si="42"/>
        <v>-1.130425051343309E-4</v>
      </c>
      <c r="AB236" s="50">
        <f t="shared" si="43"/>
        <v>15082.080000000002</v>
      </c>
    </row>
    <row r="237" spans="1:28" ht="25.5" customHeight="1" x14ac:dyDescent="0.25">
      <c r="A237" s="53">
        <f t="shared" si="44"/>
        <v>228</v>
      </c>
      <c r="B237" s="65" t="s">
        <v>329</v>
      </c>
      <c r="C237" s="66" t="s">
        <v>23</v>
      </c>
      <c r="D237" s="67" t="s">
        <v>32</v>
      </c>
      <c r="E237" s="70">
        <v>2</v>
      </c>
      <c r="F237" s="45" t="s">
        <v>294</v>
      </c>
      <c r="G237" s="45" t="s">
        <v>26</v>
      </c>
      <c r="H237" s="46">
        <v>110.65</v>
      </c>
      <c r="I237" s="45" t="s">
        <v>27</v>
      </c>
      <c r="J237" s="47">
        <v>110.65</v>
      </c>
      <c r="K237" s="47">
        <f t="shared" si="36"/>
        <v>221.3</v>
      </c>
      <c r="L237" s="45" t="s">
        <v>295</v>
      </c>
      <c r="M237" s="45" t="s">
        <v>26</v>
      </c>
      <c r="N237" s="46">
        <f>134.99/1.22</f>
        <v>110.64754098360656</v>
      </c>
      <c r="O237" s="45" t="s">
        <v>27</v>
      </c>
      <c r="P237" s="47">
        <f>134.99/1.22</f>
        <v>110.64754098360656</v>
      </c>
      <c r="Q237" s="47">
        <f t="shared" si="37"/>
        <v>221.29508196721312</v>
      </c>
      <c r="R237" s="45" t="s">
        <v>296</v>
      </c>
      <c r="S237" s="45" t="s">
        <v>26</v>
      </c>
      <c r="T237" s="46">
        <v>110.65</v>
      </c>
      <c r="U237" s="45" t="s">
        <v>27</v>
      </c>
      <c r="V237" s="47">
        <f t="shared" si="38"/>
        <v>110.65</v>
      </c>
      <c r="W237" s="47">
        <f t="shared" si="39"/>
        <v>221.3</v>
      </c>
      <c r="X237" s="48">
        <f t="shared" si="40"/>
        <v>110.64754098360656</v>
      </c>
      <c r="Y237" s="49"/>
      <c r="Z237" s="50">
        <f t="shared" si="41"/>
        <v>110.64918032786886</v>
      </c>
      <c r="AA237" s="51">
        <f t="shared" si="42"/>
        <v>-1.4815692781837697E-3</v>
      </c>
      <c r="AB237" s="50">
        <f t="shared" si="43"/>
        <v>221.29508196721312</v>
      </c>
    </row>
    <row r="238" spans="1:28" ht="25.5" customHeight="1" x14ac:dyDescent="0.25">
      <c r="A238" s="53">
        <f t="shared" si="44"/>
        <v>229</v>
      </c>
      <c r="B238" s="65" t="s">
        <v>330</v>
      </c>
      <c r="C238" s="66" t="s">
        <v>23</v>
      </c>
      <c r="D238" s="67" t="s">
        <v>32</v>
      </c>
      <c r="E238" s="70">
        <v>38</v>
      </c>
      <c r="F238" s="45" t="s">
        <v>294</v>
      </c>
      <c r="G238" s="45" t="s">
        <v>26</v>
      </c>
      <c r="H238" s="46">
        <v>117.74</v>
      </c>
      <c r="I238" s="45" t="s">
        <v>27</v>
      </c>
      <c r="J238" s="47">
        <v>117.74</v>
      </c>
      <c r="K238" s="47">
        <f t="shared" si="36"/>
        <v>4474.12</v>
      </c>
      <c r="L238" s="45" t="s">
        <v>295</v>
      </c>
      <c r="M238" s="45" t="s">
        <v>26</v>
      </c>
      <c r="N238" s="46">
        <f>143.64/1.22</f>
        <v>117.73770491803278</v>
      </c>
      <c r="O238" s="45" t="s">
        <v>27</v>
      </c>
      <c r="P238" s="47">
        <f>143.64/1.22</f>
        <v>117.73770491803278</v>
      </c>
      <c r="Q238" s="47">
        <f t="shared" si="37"/>
        <v>4474.0327868852455</v>
      </c>
      <c r="R238" s="45" t="s">
        <v>296</v>
      </c>
      <c r="S238" s="45" t="s">
        <v>26</v>
      </c>
      <c r="T238" s="46">
        <v>117.74</v>
      </c>
      <c r="U238" s="45" t="s">
        <v>27</v>
      </c>
      <c r="V238" s="47">
        <f t="shared" si="38"/>
        <v>117.74</v>
      </c>
      <c r="W238" s="47">
        <f t="shared" si="39"/>
        <v>4474.12</v>
      </c>
      <c r="X238" s="48">
        <f t="shared" si="40"/>
        <v>117.73770491803278</v>
      </c>
      <c r="Y238" s="49"/>
      <c r="Z238" s="50">
        <f t="shared" si="41"/>
        <v>117.73923497267759</v>
      </c>
      <c r="AA238" s="51">
        <f t="shared" si="42"/>
        <v>-1.299528271246686E-3</v>
      </c>
      <c r="AB238" s="50">
        <f t="shared" si="43"/>
        <v>4474.0327868852455</v>
      </c>
    </row>
    <row r="239" spans="1:28" ht="25.5" customHeight="1" x14ac:dyDescent="0.25">
      <c r="A239" s="53">
        <f t="shared" si="44"/>
        <v>230</v>
      </c>
      <c r="B239" s="65" t="s">
        <v>331</v>
      </c>
      <c r="C239" s="66" t="s">
        <v>23</v>
      </c>
      <c r="D239" s="67" t="s">
        <v>32</v>
      </c>
      <c r="E239" s="70">
        <v>147</v>
      </c>
      <c r="F239" s="45" t="s">
        <v>294</v>
      </c>
      <c r="G239" s="45" t="s">
        <v>26</v>
      </c>
      <c r="H239" s="46">
        <v>59.8</v>
      </c>
      <c r="I239" s="45" t="s">
        <v>27</v>
      </c>
      <c r="J239" s="47">
        <v>59.8</v>
      </c>
      <c r="K239" s="47">
        <f t="shared" si="36"/>
        <v>8790.6</v>
      </c>
      <c r="L239" s="45" t="s">
        <v>295</v>
      </c>
      <c r="M239" s="45" t="s">
        <v>26</v>
      </c>
      <c r="N239" s="46">
        <f>72.96/1.22</f>
        <v>59.803278688524586</v>
      </c>
      <c r="O239" s="45" t="s">
        <v>27</v>
      </c>
      <c r="P239" s="47">
        <f>72.96/1.22</f>
        <v>59.803278688524586</v>
      </c>
      <c r="Q239" s="47">
        <f t="shared" si="37"/>
        <v>8791.0819672131147</v>
      </c>
      <c r="R239" s="45" t="s">
        <v>296</v>
      </c>
      <c r="S239" s="45" t="s">
        <v>26</v>
      </c>
      <c r="T239" s="46">
        <v>59.8</v>
      </c>
      <c r="U239" s="45" t="s">
        <v>27</v>
      </c>
      <c r="V239" s="47">
        <f t="shared" si="38"/>
        <v>59.8</v>
      </c>
      <c r="W239" s="47">
        <f t="shared" si="39"/>
        <v>8790.6</v>
      </c>
      <c r="X239" s="48">
        <f t="shared" si="40"/>
        <v>59.8</v>
      </c>
      <c r="Y239" s="49"/>
      <c r="Z239" s="50">
        <f t="shared" si="41"/>
        <v>59.801092896174858</v>
      </c>
      <c r="AA239" s="51">
        <f t="shared" si="42"/>
        <v>-1.8275521766071279E-3</v>
      </c>
      <c r="AB239" s="50">
        <f t="shared" si="43"/>
        <v>8790.6</v>
      </c>
    </row>
    <row r="240" spans="1:28" ht="25.5" customHeight="1" x14ac:dyDescent="0.25">
      <c r="A240" s="53">
        <f t="shared" si="44"/>
        <v>231</v>
      </c>
      <c r="B240" s="65" t="s">
        <v>332</v>
      </c>
      <c r="C240" s="66" t="s">
        <v>23</v>
      </c>
      <c r="D240" s="67" t="s">
        <v>32</v>
      </c>
      <c r="E240" s="70">
        <v>147</v>
      </c>
      <c r="F240" s="45" t="s">
        <v>294</v>
      </c>
      <c r="G240" s="45" t="s">
        <v>26</v>
      </c>
      <c r="H240" s="46">
        <v>107.66</v>
      </c>
      <c r="I240" s="45" t="s">
        <v>27</v>
      </c>
      <c r="J240" s="47">
        <v>107.66</v>
      </c>
      <c r="K240" s="47">
        <f t="shared" si="36"/>
        <v>15826.019999999999</v>
      </c>
      <c r="L240" s="45" t="s">
        <v>295</v>
      </c>
      <c r="M240" s="45" t="s">
        <v>26</v>
      </c>
      <c r="N240" s="46">
        <f>131.35/1.22</f>
        <v>107.6639344262295</v>
      </c>
      <c r="O240" s="45" t="s">
        <v>27</v>
      </c>
      <c r="P240" s="47">
        <f>131.35/1.22</f>
        <v>107.6639344262295</v>
      </c>
      <c r="Q240" s="47">
        <f t="shared" si="37"/>
        <v>15826.598360655737</v>
      </c>
      <c r="R240" s="45" t="s">
        <v>296</v>
      </c>
      <c r="S240" s="45" t="s">
        <v>26</v>
      </c>
      <c r="T240" s="46">
        <v>107.66</v>
      </c>
      <c r="U240" s="45" t="s">
        <v>27</v>
      </c>
      <c r="V240" s="47">
        <f t="shared" si="38"/>
        <v>107.66</v>
      </c>
      <c r="W240" s="47">
        <f t="shared" si="39"/>
        <v>15826.019999999999</v>
      </c>
      <c r="X240" s="48">
        <f t="shared" si="40"/>
        <v>107.66</v>
      </c>
      <c r="Y240" s="49"/>
      <c r="Z240" s="50">
        <f t="shared" si="41"/>
        <v>107.66131147540983</v>
      </c>
      <c r="AA240" s="51">
        <f t="shared" si="42"/>
        <v>-1.2181492050018505E-3</v>
      </c>
      <c r="AB240" s="50">
        <f t="shared" si="43"/>
        <v>15826.019999999999</v>
      </c>
    </row>
    <row r="241" spans="1:28" ht="25.5" customHeight="1" x14ac:dyDescent="0.25">
      <c r="A241" s="53">
        <f t="shared" si="44"/>
        <v>232</v>
      </c>
      <c r="B241" s="65" t="s">
        <v>333</v>
      </c>
      <c r="C241" s="66" t="s">
        <v>23</v>
      </c>
      <c r="D241" s="67" t="s">
        <v>32</v>
      </c>
      <c r="E241" s="70">
        <v>16</v>
      </c>
      <c r="F241" s="45" t="s">
        <v>294</v>
      </c>
      <c r="G241" s="45" t="s">
        <v>26</v>
      </c>
      <c r="H241" s="46">
        <v>499.17</v>
      </c>
      <c r="I241" s="45" t="s">
        <v>27</v>
      </c>
      <c r="J241" s="47">
        <v>499.17</v>
      </c>
      <c r="K241" s="47">
        <f t="shared" si="36"/>
        <v>7986.72</v>
      </c>
      <c r="L241" s="45" t="s">
        <v>295</v>
      </c>
      <c r="M241" s="45" t="s">
        <v>26</v>
      </c>
      <c r="N241" s="46">
        <f>608.99/1.22</f>
        <v>499.17213114754099</v>
      </c>
      <c r="O241" s="45" t="s">
        <v>27</v>
      </c>
      <c r="P241" s="47">
        <f>608.99/1.22</f>
        <v>499.17213114754099</v>
      </c>
      <c r="Q241" s="47">
        <f t="shared" si="37"/>
        <v>7986.7540983606559</v>
      </c>
      <c r="R241" s="45" t="s">
        <v>296</v>
      </c>
      <c r="S241" s="45" t="s">
        <v>26</v>
      </c>
      <c r="T241" s="46">
        <v>499.17</v>
      </c>
      <c r="U241" s="45" t="s">
        <v>27</v>
      </c>
      <c r="V241" s="47">
        <f t="shared" si="38"/>
        <v>499.17</v>
      </c>
      <c r="W241" s="47">
        <f t="shared" si="39"/>
        <v>7986.72</v>
      </c>
      <c r="X241" s="48">
        <f t="shared" si="40"/>
        <v>499.17</v>
      </c>
      <c r="Y241" s="49"/>
      <c r="Z241" s="50">
        <f t="shared" si="41"/>
        <v>499.17071038251373</v>
      </c>
      <c r="AA241" s="51">
        <f t="shared" si="42"/>
        <v>-1.4231253936713983E-4</v>
      </c>
      <c r="AB241" s="50">
        <f t="shared" si="43"/>
        <v>7986.72</v>
      </c>
    </row>
    <row r="242" spans="1:28" ht="25.5" customHeight="1" x14ac:dyDescent="0.25">
      <c r="A242" s="53">
        <f t="shared" si="44"/>
        <v>233</v>
      </c>
      <c r="B242" s="65" t="s">
        <v>334</v>
      </c>
      <c r="C242" s="66" t="s">
        <v>23</v>
      </c>
      <c r="D242" s="67" t="s">
        <v>32</v>
      </c>
      <c r="E242" s="70">
        <v>1</v>
      </c>
      <c r="F242" s="45" t="s">
        <v>294</v>
      </c>
      <c r="G242" s="45" t="s">
        <v>26</v>
      </c>
      <c r="H242" s="46">
        <v>66.83</v>
      </c>
      <c r="I242" s="45" t="s">
        <v>27</v>
      </c>
      <c r="J242" s="47">
        <v>66.83</v>
      </c>
      <c r="K242" s="47">
        <f t="shared" si="36"/>
        <v>66.83</v>
      </c>
      <c r="L242" s="45" t="s">
        <v>295</v>
      </c>
      <c r="M242" s="45" t="s">
        <v>26</v>
      </c>
      <c r="N242" s="46">
        <f>81.53/1.22</f>
        <v>66.827868852459019</v>
      </c>
      <c r="O242" s="45" t="s">
        <v>27</v>
      </c>
      <c r="P242" s="47">
        <f>81.53/1.22</f>
        <v>66.827868852459019</v>
      </c>
      <c r="Q242" s="47">
        <f t="shared" si="37"/>
        <v>66.827868852459019</v>
      </c>
      <c r="R242" s="45" t="s">
        <v>296</v>
      </c>
      <c r="S242" s="45" t="s">
        <v>26</v>
      </c>
      <c r="T242" s="46">
        <v>66.83</v>
      </c>
      <c r="U242" s="45" t="s">
        <v>27</v>
      </c>
      <c r="V242" s="47">
        <f t="shared" si="38"/>
        <v>66.83</v>
      </c>
      <c r="W242" s="47">
        <f t="shared" si="39"/>
        <v>66.83</v>
      </c>
      <c r="X242" s="48">
        <f t="shared" si="40"/>
        <v>66.827868852459019</v>
      </c>
      <c r="Y242" s="49"/>
      <c r="Z242" s="50">
        <f t="shared" si="41"/>
        <v>66.829289617486339</v>
      </c>
      <c r="AA242" s="51">
        <f t="shared" si="42"/>
        <v>-2.1259615887743166E-3</v>
      </c>
      <c r="AB242" s="50">
        <f t="shared" si="43"/>
        <v>66.827868852459019</v>
      </c>
    </row>
    <row r="243" spans="1:28" ht="25.5" customHeight="1" x14ac:dyDescent="0.25">
      <c r="A243" s="53">
        <f t="shared" si="44"/>
        <v>234</v>
      </c>
      <c r="B243" s="65" t="s">
        <v>335</v>
      </c>
      <c r="C243" s="66" t="s">
        <v>23</v>
      </c>
      <c r="D243" s="67" t="s">
        <v>32</v>
      </c>
      <c r="E243" s="70">
        <v>1</v>
      </c>
      <c r="F243" s="45" t="s">
        <v>294</v>
      </c>
      <c r="G243" s="45" t="s">
        <v>26</v>
      </c>
      <c r="H243" s="46">
        <v>398.04</v>
      </c>
      <c r="I243" s="45" t="s">
        <v>27</v>
      </c>
      <c r="J243" s="47">
        <v>398.04</v>
      </c>
      <c r="K243" s="47">
        <f t="shared" si="36"/>
        <v>398.04</v>
      </c>
      <c r="L243" s="45" t="s">
        <v>295</v>
      </c>
      <c r="M243" s="45" t="s">
        <v>26</v>
      </c>
      <c r="N243" s="46">
        <f>485.61/1.22</f>
        <v>398.0409836065574</v>
      </c>
      <c r="O243" s="45" t="s">
        <v>27</v>
      </c>
      <c r="P243" s="47">
        <f>485.61/1.22</f>
        <v>398.0409836065574</v>
      </c>
      <c r="Q243" s="47">
        <f t="shared" si="37"/>
        <v>398.0409836065574</v>
      </c>
      <c r="R243" s="45" t="s">
        <v>296</v>
      </c>
      <c r="S243" s="45" t="s">
        <v>26</v>
      </c>
      <c r="T243" s="46">
        <v>398.04</v>
      </c>
      <c r="U243" s="45" t="s">
        <v>27</v>
      </c>
      <c r="V243" s="47">
        <f t="shared" si="38"/>
        <v>398.04</v>
      </c>
      <c r="W243" s="47">
        <f t="shared" si="39"/>
        <v>398.04</v>
      </c>
      <c r="X243" s="48">
        <f t="shared" si="40"/>
        <v>398.04</v>
      </c>
      <c r="Y243" s="49"/>
      <c r="Z243" s="50">
        <f t="shared" si="41"/>
        <v>398.0403278688525</v>
      </c>
      <c r="AA243" s="51">
        <f t="shared" si="42"/>
        <v>-8.237076234252072E-5</v>
      </c>
      <c r="AB243" s="50">
        <f t="shared" si="43"/>
        <v>398.04</v>
      </c>
    </row>
    <row r="244" spans="1:28" ht="25.5" customHeight="1" x14ac:dyDescent="0.25">
      <c r="A244" s="53">
        <f t="shared" si="44"/>
        <v>235</v>
      </c>
      <c r="B244" s="65" t="s">
        <v>336</v>
      </c>
      <c r="C244" s="66" t="s">
        <v>23</v>
      </c>
      <c r="D244" s="67" t="s">
        <v>32</v>
      </c>
      <c r="E244" s="70">
        <v>1</v>
      </c>
      <c r="F244" s="45" t="s">
        <v>294</v>
      </c>
      <c r="G244" s="45" t="s">
        <v>26</v>
      </c>
      <c r="H244" s="46">
        <v>170.91</v>
      </c>
      <c r="I244" s="45" t="s">
        <v>27</v>
      </c>
      <c r="J244" s="47">
        <v>170.91</v>
      </c>
      <c r="K244" s="47">
        <f t="shared" si="36"/>
        <v>170.91</v>
      </c>
      <c r="L244" s="45" t="s">
        <v>295</v>
      </c>
      <c r="M244" s="45" t="s">
        <v>26</v>
      </c>
      <c r="N244" s="46">
        <f>208.51/1.22</f>
        <v>170.90983606557376</v>
      </c>
      <c r="O244" s="45" t="s">
        <v>27</v>
      </c>
      <c r="P244" s="47">
        <f>208.51/1.22</f>
        <v>170.90983606557376</v>
      </c>
      <c r="Q244" s="47">
        <f t="shared" si="37"/>
        <v>170.90983606557376</v>
      </c>
      <c r="R244" s="45" t="s">
        <v>296</v>
      </c>
      <c r="S244" s="45" t="s">
        <v>26</v>
      </c>
      <c r="T244" s="46">
        <v>170.91</v>
      </c>
      <c r="U244" s="45" t="s">
        <v>27</v>
      </c>
      <c r="V244" s="47">
        <f t="shared" si="38"/>
        <v>170.91</v>
      </c>
      <c r="W244" s="47">
        <f t="shared" si="39"/>
        <v>170.91</v>
      </c>
      <c r="X244" s="48">
        <f t="shared" si="40"/>
        <v>170.90983606557376</v>
      </c>
      <c r="Y244" s="49"/>
      <c r="Z244" s="50">
        <f t="shared" si="41"/>
        <v>170.90994535519124</v>
      </c>
      <c r="AA244" s="51">
        <f t="shared" si="42"/>
        <v>-6.3945733089099122E-5</v>
      </c>
      <c r="AB244" s="50">
        <f t="shared" si="43"/>
        <v>170.90983606557376</v>
      </c>
    </row>
    <row r="245" spans="1:28" ht="25.5" customHeight="1" x14ac:dyDescent="0.25">
      <c r="A245" s="53">
        <f t="shared" si="44"/>
        <v>236</v>
      </c>
      <c r="B245" s="65" t="s">
        <v>337</v>
      </c>
      <c r="C245" s="66" t="s">
        <v>23</v>
      </c>
      <c r="D245" s="67" t="s">
        <v>251</v>
      </c>
      <c r="E245" s="70">
        <v>20</v>
      </c>
      <c r="F245" s="45" t="s">
        <v>294</v>
      </c>
      <c r="G245" s="45" t="s">
        <v>26</v>
      </c>
      <c r="H245" s="46">
        <v>369.83</v>
      </c>
      <c r="I245" s="45" t="s">
        <v>27</v>
      </c>
      <c r="J245" s="47">
        <v>369.83</v>
      </c>
      <c r="K245" s="47">
        <f t="shared" si="36"/>
        <v>7396.5999999999995</v>
      </c>
      <c r="L245" s="45" t="s">
        <v>295</v>
      </c>
      <c r="M245" s="45" t="s">
        <v>26</v>
      </c>
      <c r="N245" s="46">
        <f>451.19/1.22</f>
        <v>369.82786885245901</v>
      </c>
      <c r="O245" s="45" t="s">
        <v>27</v>
      </c>
      <c r="P245" s="47">
        <f>451.19/1.22</f>
        <v>369.82786885245901</v>
      </c>
      <c r="Q245" s="47">
        <f t="shared" si="37"/>
        <v>7396.5573770491801</v>
      </c>
      <c r="R245" s="45" t="s">
        <v>296</v>
      </c>
      <c r="S245" s="45" t="s">
        <v>26</v>
      </c>
      <c r="T245" s="46">
        <v>369.83</v>
      </c>
      <c r="U245" s="45" t="s">
        <v>27</v>
      </c>
      <c r="V245" s="47">
        <f t="shared" si="38"/>
        <v>369.83</v>
      </c>
      <c r="W245" s="47">
        <f t="shared" si="39"/>
        <v>7396.5999999999995</v>
      </c>
      <c r="X245" s="48">
        <f t="shared" si="40"/>
        <v>369.82786885245901</v>
      </c>
      <c r="Y245" s="49"/>
      <c r="Z245" s="50">
        <f t="shared" si="41"/>
        <v>369.82928961748627</v>
      </c>
      <c r="AA245" s="51">
        <f t="shared" si="42"/>
        <v>-3.8416779501915244E-4</v>
      </c>
      <c r="AB245" s="50">
        <f t="shared" si="43"/>
        <v>7396.5573770491801</v>
      </c>
    </row>
    <row r="246" spans="1:28" ht="25.5" customHeight="1" x14ac:dyDescent="0.25">
      <c r="A246" s="53">
        <f t="shared" si="44"/>
        <v>237</v>
      </c>
      <c r="B246" s="65" t="s">
        <v>338</v>
      </c>
      <c r="C246" s="66" t="s">
        <v>47</v>
      </c>
      <c r="D246" s="67" t="s">
        <v>32</v>
      </c>
      <c r="E246" s="70">
        <v>450</v>
      </c>
      <c r="F246" s="45" t="s">
        <v>299</v>
      </c>
      <c r="G246" s="45" t="s">
        <v>26</v>
      </c>
      <c r="H246" s="46">
        <v>22</v>
      </c>
      <c r="I246" s="45" t="s">
        <v>27</v>
      </c>
      <c r="J246" s="47">
        <v>22</v>
      </c>
      <c r="K246" s="47">
        <f t="shared" si="36"/>
        <v>9900</v>
      </c>
      <c r="L246" s="45" t="s">
        <v>300</v>
      </c>
      <c r="M246" s="45" t="s">
        <v>26</v>
      </c>
      <c r="N246" s="46">
        <v>24.44</v>
      </c>
      <c r="O246" s="45" t="s">
        <v>27</v>
      </c>
      <c r="P246" s="47">
        <v>24.44</v>
      </c>
      <c r="Q246" s="47">
        <f t="shared" si="37"/>
        <v>10998</v>
      </c>
      <c r="R246" s="45" t="s">
        <v>301</v>
      </c>
      <c r="S246" s="45" t="s">
        <v>26</v>
      </c>
      <c r="T246" s="46">
        <v>26.37</v>
      </c>
      <c r="U246" s="45" t="s">
        <v>27</v>
      </c>
      <c r="V246" s="47">
        <f t="shared" si="38"/>
        <v>26.37</v>
      </c>
      <c r="W246" s="47">
        <f t="shared" si="39"/>
        <v>11866.5</v>
      </c>
      <c r="X246" s="48">
        <f t="shared" si="40"/>
        <v>22</v>
      </c>
      <c r="Y246" s="49"/>
      <c r="Z246" s="50">
        <f t="shared" si="41"/>
        <v>24.27</v>
      </c>
      <c r="AA246" s="51">
        <f t="shared" si="42"/>
        <v>-9.3531108364235678</v>
      </c>
      <c r="AB246" s="50">
        <f t="shared" si="43"/>
        <v>9900</v>
      </c>
    </row>
    <row r="247" spans="1:28" ht="25.5" customHeight="1" x14ac:dyDescent="0.25">
      <c r="A247" s="53">
        <f t="shared" si="44"/>
        <v>238</v>
      </c>
      <c r="B247" s="65" t="s">
        <v>339</v>
      </c>
      <c r="C247" s="66" t="s">
        <v>23</v>
      </c>
      <c r="D247" s="67" t="s">
        <v>251</v>
      </c>
      <c r="E247" s="70">
        <v>62</v>
      </c>
      <c r="F247" s="45" t="s">
        <v>294</v>
      </c>
      <c r="G247" s="45" t="s">
        <v>26</v>
      </c>
      <c r="H247" s="46">
        <v>727.72</v>
      </c>
      <c r="I247" s="45" t="s">
        <v>27</v>
      </c>
      <c r="J247" s="47">
        <v>727.72</v>
      </c>
      <c r="K247" s="47">
        <f t="shared" si="36"/>
        <v>45118.64</v>
      </c>
      <c r="L247" s="45" t="s">
        <v>295</v>
      </c>
      <c r="M247" s="45" t="s">
        <v>26</v>
      </c>
      <c r="N247" s="46">
        <f>887.82/1.22</f>
        <v>727.72131147540995</v>
      </c>
      <c r="O247" s="45" t="s">
        <v>27</v>
      </c>
      <c r="P247" s="47">
        <f>887.82/1.22</f>
        <v>727.72131147540995</v>
      </c>
      <c r="Q247" s="47">
        <f t="shared" si="37"/>
        <v>45118.721311475419</v>
      </c>
      <c r="R247" s="45" t="s">
        <v>296</v>
      </c>
      <c r="S247" s="45" t="s">
        <v>26</v>
      </c>
      <c r="T247" s="46">
        <v>727.72</v>
      </c>
      <c r="U247" s="45" t="s">
        <v>27</v>
      </c>
      <c r="V247" s="47">
        <f t="shared" si="38"/>
        <v>727.72</v>
      </c>
      <c r="W247" s="47">
        <f t="shared" si="39"/>
        <v>45118.64</v>
      </c>
      <c r="X247" s="48">
        <f t="shared" si="40"/>
        <v>727.72</v>
      </c>
      <c r="Y247" s="49"/>
      <c r="Z247" s="50">
        <f t="shared" si="41"/>
        <v>727.72043715846996</v>
      </c>
      <c r="AA247" s="51">
        <f t="shared" si="42"/>
        <v>-6.0072309040037908E-5</v>
      </c>
      <c r="AB247" s="50">
        <f t="shared" si="43"/>
        <v>45118.64</v>
      </c>
    </row>
    <row r="248" spans="1:28" ht="25.5" customHeight="1" x14ac:dyDescent="0.25">
      <c r="A248" s="53">
        <f t="shared" si="44"/>
        <v>239</v>
      </c>
      <c r="B248" s="65" t="s">
        <v>340</v>
      </c>
      <c r="C248" s="66" t="s">
        <v>47</v>
      </c>
      <c r="D248" s="67" t="s">
        <v>32</v>
      </c>
      <c r="E248" s="70">
        <v>592</v>
      </c>
      <c r="F248" s="45" t="s">
        <v>299</v>
      </c>
      <c r="G248" s="45" t="s">
        <v>26</v>
      </c>
      <c r="H248" s="46">
        <v>3.92</v>
      </c>
      <c r="I248" s="45" t="s">
        <v>27</v>
      </c>
      <c r="J248" s="47">
        <v>3.92</v>
      </c>
      <c r="K248" s="47">
        <f t="shared" si="36"/>
        <v>2320.64</v>
      </c>
      <c r="L248" s="45" t="s">
        <v>300</v>
      </c>
      <c r="M248" s="45" t="s">
        <v>26</v>
      </c>
      <c r="N248" s="46">
        <v>4.17</v>
      </c>
      <c r="O248" s="45" t="s">
        <v>27</v>
      </c>
      <c r="P248" s="47">
        <v>4.17</v>
      </c>
      <c r="Q248" s="47">
        <f t="shared" si="37"/>
        <v>2468.64</v>
      </c>
      <c r="R248" s="45" t="s">
        <v>301</v>
      </c>
      <c r="S248" s="45" t="s">
        <v>26</v>
      </c>
      <c r="T248" s="46">
        <v>4.38</v>
      </c>
      <c r="U248" s="45" t="s">
        <v>27</v>
      </c>
      <c r="V248" s="47">
        <f t="shared" si="38"/>
        <v>4.38</v>
      </c>
      <c r="W248" s="47">
        <f t="shared" si="39"/>
        <v>2592.96</v>
      </c>
      <c r="X248" s="48">
        <f t="shared" si="40"/>
        <v>3.92</v>
      </c>
      <c r="Y248" s="49"/>
      <c r="Z248" s="50">
        <f t="shared" si="41"/>
        <v>4.1566666666666663</v>
      </c>
      <c r="AA248" s="51">
        <f t="shared" si="42"/>
        <v>-5.693664795509207</v>
      </c>
      <c r="AB248" s="50">
        <f t="shared" si="43"/>
        <v>2320.64</v>
      </c>
    </row>
    <row r="249" spans="1:28" ht="25.5" customHeight="1" x14ac:dyDescent="0.25">
      <c r="A249" s="53">
        <f t="shared" si="44"/>
        <v>240</v>
      </c>
      <c r="B249" s="65" t="s">
        <v>341</v>
      </c>
      <c r="C249" s="66" t="s">
        <v>47</v>
      </c>
      <c r="D249" s="67" t="s">
        <v>251</v>
      </c>
      <c r="E249" s="70">
        <v>162</v>
      </c>
      <c r="F249" s="45" t="s">
        <v>299</v>
      </c>
      <c r="G249" s="45" t="s">
        <v>26</v>
      </c>
      <c r="H249" s="46">
        <v>131.5</v>
      </c>
      <c r="I249" s="45" t="s">
        <v>27</v>
      </c>
      <c r="J249" s="47">
        <v>131.5</v>
      </c>
      <c r="K249" s="47">
        <f t="shared" si="36"/>
        <v>21303</v>
      </c>
      <c r="L249" s="45" t="s">
        <v>300</v>
      </c>
      <c r="M249" s="45" t="s">
        <v>26</v>
      </c>
      <c r="N249" s="46">
        <v>143.86000000000001</v>
      </c>
      <c r="O249" s="45" t="s">
        <v>27</v>
      </c>
      <c r="P249" s="47">
        <v>143.86000000000001</v>
      </c>
      <c r="Q249" s="47">
        <f t="shared" si="37"/>
        <v>23305.320000000003</v>
      </c>
      <c r="R249" s="45" t="s">
        <v>301</v>
      </c>
      <c r="S249" s="45" t="s">
        <v>26</v>
      </c>
      <c r="T249" s="46">
        <v>153.5</v>
      </c>
      <c r="U249" s="45" t="s">
        <v>27</v>
      </c>
      <c r="V249" s="47">
        <f t="shared" si="38"/>
        <v>153.5</v>
      </c>
      <c r="W249" s="47">
        <f t="shared" si="39"/>
        <v>24867</v>
      </c>
      <c r="X249" s="48">
        <f t="shared" si="40"/>
        <v>131.5</v>
      </c>
      <c r="Y249" s="49"/>
      <c r="Z249" s="50">
        <f t="shared" si="41"/>
        <v>142.95333333333335</v>
      </c>
      <c r="AA249" s="51">
        <f t="shared" si="42"/>
        <v>-8.0119386279904887</v>
      </c>
      <c r="AB249" s="50">
        <f t="shared" si="43"/>
        <v>21303</v>
      </c>
    </row>
    <row r="250" spans="1:28" ht="25.5" customHeight="1" x14ac:dyDescent="0.25">
      <c r="A250" s="53">
        <f t="shared" si="44"/>
        <v>241</v>
      </c>
      <c r="B250" s="65" t="s">
        <v>342</v>
      </c>
      <c r="C250" s="66" t="s">
        <v>47</v>
      </c>
      <c r="D250" s="67" t="s">
        <v>251</v>
      </c>
      <c r="E250" s="70">
        <v>105</v>
      </c>
      <c r="F250" s="45" t="s">
        <v>299</v>
      </c>
      <c r="G250" s="45" t="s">
        <v>26</v>
      </c>
      <c r="H250" s="46">
        <v>184.5</v>
      </c>
      <c r="I250" s="45" t="s">
        <v>27</v>
      </c>
      <c r="J250" s="47">
        <v>184.5</v>
      </c>
      <c r="K250" s="47">
        <f t="shared" si="36"/>
        <v>19372.5</v>
      </c>
      <c r="L250" s="45" t="s">
        <v>300</v>
      </c>
      <c r="M250" s="45" t="s">
        <v>26</v>
      </c>
      <c r="N250" s="46">
        <v>206.64</v>
      </c>
      <c r="O250" s="45" t="s">
        <v>27</v>
      </c>
      <c r="P250" s="47">
        <v>206.64</v>
      </c>
      <c r="Q250" s="47">
        <f t="shared" si="37"/>
        <v>21697.199999999997</v>
      </c>
      <c r="R250" s="45" t="s">
        <v>301</v>
      </c>
      <c r="S250" s="45" t="s">
        <v>26</v>
      </c>
      <c r="T250" s="46">
        <v>217.8</v>
      </c>
      <c r="U250" s="45" t="s">
        <v>27</v>
      </c>
      <c r="V250" s="47">
        <f t="shared" si="38"/>
        <v>217.8</v>
      </c>
      <c r="W250" s="47">
        <f t="shared" si="39"/>
        <v>22869</v>
      </c>
      <c r="X250" s="48">
        <f t="shared" si="40"/>
        <v>184.5</v>
      </c>
      <c r="Y250" s="49"/>
      <c r="Z250" s="50">
        <f t="shared" si="41"/>
        <v>202.98000000000002</v>
      </c>
      <c r="AA250" s="51">
        <f t="shared" si="42"/>
        <v>-9.1043452556902196</v>
      </c>
      <c r="AB250" s="50">
        <f t="shared" si="43"/>
        <v>19372.5</v>
      </c>
    </row>
    <row r="251" spans="1:28" ht="25.5" customHeight="1" x14ac:dyDescent="0.25">
      <c r="A251" s="53">
        <f t="shared" si="44"/>
        <v>242</v>
      </c>
      <c r="B251" s="65" t="s">
        <v>343</v>
      </c>
      <c r="C251" s="66" t="s">
        <v>47</v>
      </c>
      <c r="D251" s="67" t="s">
        <v>251</v>
      </c>
      <c r="E251" s="70">
        <v>64</v>
      </c>
      <c r="F251" s="45" t="s">
        <v>299</v>
      </c>
      <c r="G251" s="45" t="s">
        <v>26</v>
      </c>
      <c r="H251" s="46">
        <v>294.5</v>
      </c>
      <c r="I251" s="45" t="s">
        <v>27</v>
      </c>
      <c r="J251" s="47">
        <v>294.5</v>
      </c>
      <c r="K251" s="47">
        <f t="shared" si="36"/>
        <v>18848</v>
      </c>
      <c r="L251" s="45" t="s">
        <v>300</v>
      </c>
      <c r="M251" s="45" t="s">
        <v>26</v>
      </c>
      <c r="N251" s="46">
        <v>308.93</v>
      </c>
      <c r="O251" s="45" t="s">
        <v>27</v>
      </c>
      <c r="P251" s="47">
        <v>308.93</v>
      </c>
      <c r="Q251" s="47">
        <f t="shared" si="37"/>
        <v>19771.52</v>
      </c>
      <c r="R251" s="45" t="s">
        <v>301</v>
      </c>
      <c r="S251" s="45" t="s">
        <v>26</v>
      </c>
      <c r="T251" s="46">
        <v>331.79</v>
      </c>
      <c r="U251" s="45" t="s">
        <v>27</v>
      </c>
      <c r="V251" s="47">
        <f t="shared" si="38"/>
        <v>331.79</v>
      </c>
      <c r="W251" s="47">
        <f t="shared" si="39"/>
        <v>21234.560000000001</v>
      </c>
      <c r="X251" s="48">
        <f t="shared" si="40"/>
        <v>294.5</v>
      </c>
      <c r="Y251" s="49"/>
      <c r="Z251" s="50">
        <f t="shared" si="41"/>
        <v>311.74</v>
      </c>
      <c r="AA251" s="51">
        <f t="shared" si="42"/>
        <v>-5.5302495669468215</v>
      </c>
      <c r="AB251" s="50">
        <f t="shared" si="43"/>
        <v>18848</v>
      </c>
    </row>
    <row r="252" spans="1:28" ht="25.5" customHeight="1" x14ac:dyDescent="0.25">
      <c r="A252" s="53">
        <f t="shared" si="44"/>
        <v>243</v>
      </c>
      <c r="B252" s="65" t="s">
        <v>344</v>
      </c>
      <c r="C252" s="66" t="s">
        <v>47</v>
      </c>
      <c r="D252" s="67" t="s">
        <v>251</v>
      </c>
      <c r="E252" s="70">
        <v>68</v>
      </c>
      <c r="F252" s="45" t="s">
        <v>299</v>
      </c>
      <c r="G252" s="45" t="s">
        <v>26</v>
      </c>
      <c r="H252" s="46">
        <v>128</v>
      </c>
      <c r="I252" s="45" t="s">
        <v>27</v>
      </c>
      <c r="J252" s="47">
        <v>128</v>
      </c>
      <c r="K252" s="47">
        <f t="shared" si="36"/>
        <v>8704</v>
      </c>
      <c r="L252" s="45" t="s">
        <v>300</v>
      </c>
      <c r="M252" s="45" t="s">
        <v>26</v>
      </c>
      <c r="N252" s="46">
        <v>137.86000000000001</v>
      </c>
      <c r="O252" s="45" t="s">
        <v>27</v>
      </c>
      <c r="P252" s="47">
        <v>137.86000000000001</v>
      </c>
      <c r="Q252" s="47">
        <f t="shared" si="37"/>
        <v>9374.4800000000014</v>
      </c>
      <c r="R252" s="45" t="s">
        <v>301</v>
      </c>
      <c r="S252" s="45" t="s">
        <v>26</v>
      </c>
      <c r="T252" s="46">
        <v>143.79</v>
      </c>
      <c r="U252" s="45" t="s">
        <v>27</v>
      </c>
      <c r="V252" s="47">
        <f t="shared" si="38"/>
        <v>143.79</v>
      </c>
      <c r="W252" s="47">
        <f t="shared" si="39"/>
        <v>9777.7199999999993</v>
      </c>
      <c r="X252" s="48">
        <f t="shared" si="40"/>
        <v>128</v>
      </c>
      <c r="Y252" s="49"/>
      <c r="Z252" s="50">
        <f t="shared" si="41"/>
        <v>136.54999999999998</v>
      </c>
      <c r="AA252" s="51">
        <f t="shared" si="42"/>
        <v>-6.2614426949835149</v>
      </c>
      <c r="AB252" s="50">
        <f t="shared" si="43"/>
        <v>8704</v>
      </c>
    </row>
    <row r="253" spans="1:28" ht="25.5" customHeight="1" x14ac:dyDescent="0.25">
      <c r="A253" s="53">
        <f t="shared" si="44"/>
        <v>244</v>
      </c>
      <c r="B253" s="65" t="s">
        <v>345</v>
      </c>
      <c r="C253" s="66" t="s">
        <v>47</v>
      </c>
      <c r="D253" s="67" t="s">
        <v>251</v>
      </c>
      <c r="E253" s="70">
        <v>17</v>
      </c>
      <c r="F253" s="45" t="s">
        <v>299</v>
      </c>
      <c r="G253" s="45" t="s">
        <v>26</v>
      </c>
      <c r="H253" s="46">
        <v>146</v>
      </c>
      <c r="I253" s="45" t="s">
        <v>27</v>
      </c>
      <c r="J253" s="47">
        <v>146</v>
      </c>
      <c r="K253" s="47">
        <f t="shared" si="36"/>
        <v>2482</v>
      </c>
      <c r="L253" s="45" t="s">
        <v>300</v>
      </c>
      <c r="M253" s="45" t="s">
        <v>26</v>
      </c>
      <c r="N253" s="46">
        <v>161.77000000000001</v>
      </c>
      <c r="O253" s="45" t="s">
        <v>27</v>
      </c>
      <c r="P253" s="47">
        <v>161.77000000000001</v>
      </c>
      <c r="Q253" s="47">
        <f t="shared" si="37"/>
        <v>2750.09</v>
      </c>
      <c r="R253" s="45" t="s">
        <v>301</v>
      </c>
      <c r="S253" s="45" t="s">
        <v>26</v>
      </c>
      <c r="T253" s="46">
        <v>171.64</v>
      </c>
      <c r="U253" s="45" t="s">
        <v>27</v>
      </c>
      <c r="V253" s="47">
        <f t="shared" si="38"/>
        <v>171.64</v>
      </c>
      <c r="W253" s="47">
        <f t="shared" si="39"/>
        <v>2917.8799999999997</v>
      </c>
      <c r="X253" s="48">
        <f t="shared" si="40"/>
        <v>146</v>
      </c>
      <c r="Y253" s="49"/>
      <c r="Z253" s="50">
        <f t="shared" si="41"/>
        <v>159.80333333333331</v>
      </c>
      <c r="AA253" s="51">
        <f t="shared" si="42"/>
        <v>-8.637700506873017</v>
      </c>
      <c r="AB253" s="50">
        <f t="shared" si="43"/>
        <v>2482</v>
      </c>
    </row>
    <row r="254" spans="1:28" ht="25.5" customHeight="1" x14ac:dyDescent="0.25">
      <c r="A254" s="53">
        <f t="shared" si="44"/>
        <v>245</v>
      </c>
      <c r="B254" s="65" t="s">
        <v>346</v>
      </c>
      <c r="C254" s="66" t="s">
        <v>47</v>
      </c>
      <c r="D254" s="67" t="s">
        <v>251</v>
      </c>
      <c r="E254" s="70">
        <v>0</v>
      </c>
      <c r="F254" s="45" t="s">
        <v>299</v>
      </c>
      <c r="G254" s="45" t="s">
        <v>26</v>
      </c>
      <c r="H254" s="46">
        <v>50.3</v>
      </c>
      <c r="I254" s="45" t="s">
        <v>27</v>
      </c>
      <c r="J254" s="47">
        <v>50.3</v>
      </c>
      <c r="K254" s="47">
        <f t="shared" si="36"/>
        <v>0</v>
      </c>
      <c r="L254" s="45" t="s">
        <v>300</v>
      </c>
      <c r="M254" s="45" t="s">
        <v>26</v>
      </c>
      <c r="N254" s="46">
        <v>51.96</v>
      </c>
      <c r="O254" s="45" t="s">
        <v>27</v>
      </c>
      <c r="P254" s="47">
        <v>51.96</v>
      </c>
      <c r="Q254" s="47">
        <f t="shared" si="37"/>
        <v>0</v>
      </c>
      <c r="R254" s="45" t="s">
        <v>301</v>
      </c>
      <c r="S254" s="45" t="s">
        <v>26</v>
      </c>
      <c r="T254" s="46">
        <v>55.6</v>
      </c>
      <c r="U254" s="45" t="s">
        <v>27</v>
      </c>
      <c r="V254" s="47">
        <f t="shared" si="38"/>
        <v>55.6</v>
      </c>
      <c r="W254" s="47">
        <f t="shared" si="39"/>
        <v>0</v>
      </c>
      <c r="X254" s="48">
        <f t="shared" si="40"/>
        <v>50.3</v>
      </c>
      <c r="Y254" s="49"/>
      <c r="Z254" s="50">
        <f t="shared" si="41"/>
        <v>52.62</v>
      </c>
      <c r="AA254" s="51">
        <f t="shared" si="42"/>
        <v>-4.4089699733941359</v>
      </c>
      <c r="AB254" s="50">
        <f t="shared" si="43"/>
        <v>0</v>
      </c>
    </row>
    <row r="255" spans="1:28" ht="25.5" customHeight="1" x14ac:dyDescent="0.25">
      <c r="A255" s="53">
        <v>246</v>
      </c>
      <c r="B255" s="65" t="s">
        <v>347</v>
      </c>
      <c r="C255" s="66" t="s">
        <v>23</v>
      </c>
      <c r="D255" s="67" t="s">
        <v>251</v>
      </c>
      <c r="E255" s="70">
        <v>14</v>
      </c>
      <c r="F255" s="45" t="s">
        <v>294</v>
      </c>
      <c r="G255" s="45" t="s">
        <v>26</v>
      </c>
      <c r="H255" s="46">
        <v>262.16000000000003</v>
      </c>
      <c r="I255" s="45" t="s">
        <v>27</v>
      </c>
      <c r="J255" s="47">
        <v>262.16000000000003</v>
      </c>
      <c r="K255" s="47">
        <f t="shared" si="36"/>
        <v>3670.2400000000002</v>
      </c>
      <c r="L255" s="45" t="s">
        <v>295</v>
      </c>
      <c r="M255" s="45" t="s">
        <v>26</v>
      </c>
      <c r="N255" s="46">
        <f>319.84/1.22</f>
        <v>262.1639344262295</v>
      </c>
      <c r="O255" s="45" t="s">
        <v>27</v>
      </c>
      <c r="P255" s="47">
        <f>319.84/1.22</f>
        <v>262.1639344262295</v>
      </c>
      <c r="Q255" s="47">
        <f t="shared" si="37"/>
        <v>3670.2950819672133</v>
      </c>
      <c r="R255" s="45" t="s">
        <v>296</v>
      </c>
      <c r="S255" s="45" t="s">
        <v>26</v>
      </c>
      <c r="T255" s="46">
        <v>262.16000000000003</v>
      </c>
      <c r="U255" s="45" t="s">
        <v>27</v>
      </c>
      <c r="V255" s="47">
        <f t="shared" si="38"/>
        <v>262.16000000000003</v>
      </c>
      <c r="W255" s="47">
        <f t="shared" si="39"/>
        <v>3670.2400000000002</v>
      </c>
      <c r="X255" s="48">
        <f t="shared" si="40"/>
        <v>262.16000000000003</v>
      </c>
      <c r="Y255" s="49"/>
      <c r="Z255" s="50">
        <f t="shared" si="41"/>
        <v>262.16131147540983</v>
      </c>
      <c r="AA255" s="51">
        <f t="shared" si="42"/>
        <v>-5.0025513010609757E-4</v>
      </c>
      <c r="AB255" s="50">
        <f t="shared" si="43"/>
        <v>3670.2400000000002</v>
      </c>
    </row>
    <row r="256" spans="1:28" ht="25.5" customHeight="1" x14ac:dyDescent="0.25">
      <c r="A256" s="53">
        <f t="shared" ref="A256:A287" si="45">A255+1</f>
        <v>247</v>
      </c>
      <c r="B256" s="65" t="s">
        <v>348</v>
      </c>
      <c r="C256" s="66" t="s">
        <v>23</v>
      </c>
      <c r="D256" s="67" t="s">
        <v>251</v>
      </c>
      <c r="E256" s="70">
        <v>6</v>
      </c>
      <c r="F256" s="45" t="s">
        <v>294</v>
      </c>
      <c r="G256" s="45" t="s">
        <v>26</v>
      </c>
      <c r="H256" s="46">
        <v>630.96</v>
      </c>
      <c r="I256" s="45" t="s">
        <v>27</v>
      </c>
      <c r="J256" s="47">
        <v>630.96</v>
      </c>
      <c r="K256" s="47">
        <f t="shared" si="36"/>
        <v>3785.76</v>
      </c>
      <c r="L256" s="45" t="s">
        <v>295</v>
      </c>
      <c r="M256" s="45" t="s">
        <v>26</v>
      </c>
      <c r="N256" s="46">
        <f>769.77/1.22</f>
        <v>630.95901639344265</v>
      </c>
      <c r="O256" s="45" t="s">
        <v>27</v>
      </c>
      <c r="P256" s="47">
        <f>769.77/1.22</f>
        <v>630.95901639344265</v>
      </c>
      <c r="Q256" s="47">
        <f t="shared" si="37"/>
        <v>3785.7540983606559</v>
      </c>
      <c r="R256" s="45" t="s">
        <v>296</v>
      </c>
      <c r="S256" s="45" t="s">
        <v>26</v>
      </c>
      <c r="T256" s="46">
        <v>630.96</v>
      </c>
      <c r="U256" s="45" t="s">
        <v>27</v>
      </c>
      <c r="V256" s="47">
        <f t="shared" si="38"/>
        <v>630.96</v>
      </c>
      <c r="W256" s="47">
        <f t="shared" si="39"/>
        <v>3785.76</v>
      </c>
      <c r="X256" s="48">
        <f t="shared" si="40"/>
        <v>630.95901639344265</v>
      </c>
      <c r="Y256" s="49"/>
      <c r="Z256" s="50">
        <f t="shared" si="41"/>
        <v>630.95967213114761</v>
      </c>
      <c r="AA256" s="51">
        <f t="shared" si="42"/>
        <v>-1.0392703906347833E-4</v>
      </c>
      <c r="AB256" s="50">
        <f t="shared" si="43"/>
        <v>3785.7540983606559</v>
      </c>
    </row>
    <row r="257" spans="1:28" ht="25.5" customHeight="1" x14ac:dyDescent="0.25">
      <c r="A257" s="53">
        <f t="shared" si="45"/>
        <v>248</v>
      </c>
      <c r="B257" s="65" t="s">
        <v>349</v>
      </c>
      <c r="C257" s="66" t="s">
        <v>23</v>
      </c>
      <c r="D257" s="67" t="s">
        <v>251</v>
      </c>
      <c r="E257" s="70">
        <v>12</v>
      </c>
      <c r="F257" s="45" t="s">
        <v>294</v>
      </c>
      <c r="G257" s="45" t="s">
        <v>26</v>
      </c>
      <c r="H257" s="46">
        <v>1187.4100000000001</v>
      </c>
      <c r="I257" s="45" t="s">
        <v>27</v>
      </c>
      <c r="J257" s="47">
        <v>1187.4100000000001</v>
      </c>
      <c r="K257" s="47">
        <f t="shared" si="36"/>
        <v>14248.920000000002</v>
      </c>
      <c r="L257" s="45" t="s">
        <v>295</v>
      </c>
      <c r="M257" s="45" t="s">
        <v>26</v>
      </c>
      <c r="N257" s="46">
        <f>1448.64/1.22</f>
        <v>1187.4098360655739</v>
      </c>
      <c r="O257" s="45" t="s">
        <v>27</v>
      </c>
      <c r="P257" s="47">
        <f>1448.64/1.22</f>
        <v>1187.4098360655739</v>
      </c>
      <c r="Q257" s="47">
        <f t="shared" si="37"/>
        <v>14248.918032786887</v>
      </c>
      <c r="R257" s="45" t="s">
        <v>296</v>
      </c>
      <c r="S257" s="45" t="s">
        <v>26</v>
      </c>
      <c r="T257" s="46">
        <v>1187.4100000000001</v>
      </c>
      <c r="U257" s="45" t="s">
        <v>27</v>
      </c>
      <c r="V257" s="47">
        <f t="shared" si="38"/>
        <v>1187.4100000000001</v>
      </c>
      <c r="W257" s="47">
        <f t="shared" si="39"/>
        <v>14248.920000000002</v>
      </c>
      <c r="X257" s="48">
        <f t="shared" si="40"/>
        <v>1187.4098360655739</v>
      </c>
      <c r="Y257" s="49"/>
      <c r="Z257" s="50">
        <f t="shared" si="41"/>
        <v>1187.4099453551914</v>
      </c>
      <c r="AA257" s="51">
        <f t="shared" si="42"/>
        <v>-9.2040341996835195E-6</v>
      </c>
      <c r="AB257" s="50">
        <f t="shared" si="43"/>
        <v>14248.918032786887</v>
      </c>
    </row>
    <row r="258" spans="1:28" ht="25.5" customHeight="1" x14ac:dyDescent="0.25">
      <c r="A258" s="53">
        <f t="shared" si="45"/>
        <v>249</v>
      </c>
      <c r="B258" s="65" t="s">
        <v>350</v>
      </c>
      <c r="C258" s="66" t="s">
        <v>23</v>
      </c>
      <c r="D258" s="67" t="s">
        <v>251</v>
      </c>
      <c r="E258" s="70">
        <v>4</v>
      </c>
      <c r="F258" s="45" t="s">
        <v>294</v>
      </c>
      <c r="G258" s="45" t="s">
        <v>26</v>
      </c>
      <c r="H258" s="46">
        <v>2035.47</v>
      </c>
      <c r="I258" s="45" t="s">
        <v>27</v>
      </c>
      <c r="J258" s="47">
        <v>2035.47</v>
      </c>
      <c r="K258" s="47">
        <f t="shared" si="36"/>
        <v>8141.88</v>
      </c>
      <c r="L258" s="45" t="s">
        <v>295</v>
      </c>
      <c r="M258" s="45" t="s">
        <v>26</v>
      </c>
      <c r="N258" s="46">
        <f>2483.27/1.22</f>
        <v>2035.467213114754</v>
      </c>
      <c r="O258" s="45" t="s">
        <v>27</v>
      </c>
      <c r="P258" s="47">
        <f>2483.27/1.22</f>
        <v>2035.467213114754</v>
      </c>
      <c r="Q258" s="47">
        <f t="shared" si="37"/>
        <v>8141.8688524590161</v>
      </c>
      <c r="R258" s="45" t="s">
        <v>296</v>
      </c>
      <c r="S258" s="45" t="s">
        <v>26</v>
      </c>
      <c r="T258" s="46">
        <v>2035.47</v>
      </c>
      <c r="U258" s="45" t="s">
        <v>27</v>
      </c>
      <c r="V258" s="47">
        <f t="shared" si="38"/>
        <v>2035.47</v>
      </c>
      <c r="W258" s="47">
        <f t="shared" si="39"/>
        <v>8141.88</v>
      </c>
      <c r="X258" s="48">
        <f t="shared" si="40"/>
        <v>2035.467213114754</v>
      </c>
      <c r="Y258" s="49"/>
      <c r="Z258" s="50">
        <f t="shared" si="41"/>
        <v>2035.4690710382513</v>
      </c>
      <c r="AA258" s="51">
        <f t="shared" si="42"/>
        <v>-9.127741235204212E-5</v>
      </c>
      <c r="AB258" s="50">
        <f t="shared" si="43"/>
        <v>8141.8688524590161</v>
      </c>
    </row>
    <row r="259" spans="1:28" ht="25.5" customHeight="1" x14ac:dyDescent="0.25">
      <c r="A259" s="53">
        <f t="shared" si="45"/>
        <v>250</v>
      </c>
      <c r="B259" s="65" t="s">
        <v>351</v>
      </c>
      <c r="C259" s="66" t="s">
        <v>47</v>
      </c>
      <c r="D259" s="67" t="s">
        <v>32</v>
      </c>
      <c r="E259" s="70">
        <v>340</v>
      </c>
      <c r="F259" s="45" t="s">
        <v>299</v>
      </c>
      <c r="G259" s="45" t="s">
        <v>26</v>
      </c>
      <c r="H259" s="46">
        <v>4.5</v>
      </c>
      <c r="I259" s="45" t="s">
        <v>27</v>
      </c>
      <c r="J259" s="47">
        <v>4.5</v>
      </c>
      <c r="K259" s="47">
        <f t="shared" si="36"/>
        <v>1530</v>
      </c>
      <c r="L259" s="45" t="s">
        <v>300</v>
      </c>
      <c r="M259" s="45" t="s">
        <v>26</v>
      </c>
      <c r="N259" s="46">
        <v>4.74</v>
      </c>
      <c r="O259" s="45" t="s">
        <v>27</v>
      </c>
      <c r="P259" s="47">
        <v>4.74</v>
      </c>
      <c r="Q259" s="47">
        <f t="shared" si="37"/>
        <v>1611.6000000000001</v>
      </c>
      <c r="R259" s="45" t="s">
        <v>301</v>
      </c>
      <c r="S259" s="45" t="s">
        <v>26</v>
      </c>
      <c r="T259" s="46">
        <v>4.99</v>
      </c>
      <c r="U259" s="45" t="s">
        <v>27</v>
      </c>
      <c r="V259" s="47">
        <f t="shared" si="38"/>
        <v>4.99</v>
      </c>
      <c r="W259" s="47">
        <f t="shared" si="39"/>
        <v>1696.6000000000001</v>
      </c>
      <c r="X259" s="48">
        <f t="shared" si="40"/>
        <v>4.5</v>
      </c>
      <c r="Y259" s="49"/>
      <c r="Z259" s="50">
        <f t="shared" si="41"/>
        <v>4.7433333333333332</v>
      </c>
      <c r="AA259" s="51">
        <f t="shared" si="42"/>
        <v>-5.1300070274068901</v>
      </c>
      <c r="AB259" s="50">
        <f t="shared" si="43"/>
        <v>1530</v>
      </c>
    </row>
    <row r="260" spans="1:28" ht="25.5" customHeight="1" x14ac:dyDescent="0.25">
      <c r="A260" s="53">
        <f t="shared" si="45"/>
        <v>251</v>
      </c>
      <c r="B260" s="65" t="s">
        <v>352</v>
      </c>
      <c r="C260" s="66" t="s">
        <v>47</v>
      </c>
      <c r="D260" s="67" t="s">
        <v>32</v>
      </c>
      <c r="E260" s="70">
        <v>40</v>
      </c>
      <c r="F260" s="45" t="s">
        <v>299</v>
      </c>
      <c r="G260" s="45" t="s">
        <v>26</v>
      </c>
      <c r="H260" s="46">
        <v>6.8</v>
      </c>
      <c r="I260" s="45" t="s">
        <v>27</v>
      </c>
      <c r="J260" s="47">
        <v>6.8</v>
      </c>
      <c r="K260" s="47">
        <f t="shared" si="36"/>
        <v>272</v>
      </c>
      <c r="L260" s="45" t="s">
        <v>300</v>
      </c>
      <c r="M260" s="45" t="s">
        <v>26</v>
      </c>
      <c r="N260" s="46">
        <v>7.4</v>
      </c>
      <c r="O260" s="45" t="s">
        <v>27</v>
      </c>
      <c r="P260" s="47">
        <v>7.4</v>
      </c>
      <c r="Q260" s="47">
        <f t="shared" si="37"/>
        <v>296</v>
      </c>
      <c r="R260" s="45" t="s">
        <v>301</v>
      </c>
      <c r="S260" s="45" t="s">
        <v>26</v>
      </c>
      <c r="T260" s="46">
        <v>7.9</v>
      </c>
      <c r="U260" s="45" t="s">
        <v>27</v>
      </c>
      <c r="V260" s="47">
        <f t="shared" si="38"/>
        <v>7.9</v>
      </c>
      <c r="W260" s="47">
        <f t="shared" si="39"/>
        <v>316</v>
      </c>
      <c r="X260" s="48">
        <f t="shared" si="40"/>
        <v>6.8</v>
      </c>
      <c r="Y260" s="49"/>
      <c r="Z260" s="50">
        <f t="shared" si="41"/>
        <v>7.3666666666666671</v>
      </c>
      <c r="AA260" s="51">
        <f t="shared" si="42"/>
        <v>-7.6923076923076934</v>
      </c>
      <c r="AB260" s="50">
        <f t="shared" si="43"/>
        <v>272</v>
      </c>
    </row>
    <row r="261" spans="1:28" ht="25.5" customHeight="1" x14ac:dyDescent="0.25">
      <c r="A261" s="53">
        <f t="shared" si="45"/>
        <v>252</v>
      </c>
      <c r="B261" s="65" t="s">
        <v>353</v>
      </c>
      <c r="C261" s="66" t="s">
        <v>47</v>
      </c>
      <c r="D261" s="67" t="s">
        <v>32</v>
      </c>
      <c r="E261" s="70">
        <v>1520</v>
      </c>
      <c r="F261" s="45" t="s">
        <v>299</v>
      </c>
      <c r="G261" s="45" t="s">
        <v>26</v>
      </c>
      <c r="H261" s="46">
        <v>0.6</v>
      </c>
      <c r="I261" s="45" t="s">
        <v>27</v>
      </c>
      <c r="J261" s="47">
        <v>0.6</v>
      </c>
      <c r="K261" s="47">
        <f t="shared" si="36"/>
        <v>912</v>
      </c>
      <c r="L261" s="45" t="s">
        <v>300</v>
      </c>
      <c r="M261" s="45" t="s">
        <v>26</v>
      </c>
      <c r="N261" s="46">
        <v>0.67</v>
      </c>
      <c r="O261" s="45" t="s">
        <v>27</v>
      </c>
      <c r="P261" s="47">
        <v>0.67</v>
      </c>
      <c r="Q261" s="47">
        <f t="shared" si="37"/>
        <v>1018.4000000000001</v>
      </c>
      <c r="R261" s="45" t="s">
        <v>301</v>
      </c>
      <c r="S261" s="45" t="s">
        <v>26</v>
      </c>
      <c r="T261" s="46">
        <v>0.7</v>
      </c>
      <c r="U261" s="45" t="s">
        <v>27</v>
      </c>
      <c r="V261" s="47">
        <f t="shared" si="38"/>
        <v>0.7</v>
      </c>
      <c r="W261" s="47">
        <f t="shared" si="39"/>
        <v>1064</v>
      </c>
      <c r="X261" s="48">
        <f t="shared" si="40"/>
        <v>0.6</v>
      </c>
      <c r="Y261" s="49"/>
      <c r="Z261" s="50">
        <f t="shared" si="41"/>
        <v>0.65666666666666662</v>
      </c>
      <c r="AA261" s="51">
        <f t="shared" si="42"/>
        <v>-8.6294416243654695</v>
      </c>
      <c r="AB261" s="50">
        <f t="shared" si="43"/>
        <v>912</v>
      </c>
    </row>
    <row r="262" spans="1:28" ht="25.5" customHeight="1" x14ac:dyDescent="0.25">
      <c r="A262" s="53">
        <f t="shared" si="45"/>
        <v>253</v>
      </c>
      <c r="B262" s="65" t="s">
        <v>354</v>
      </c>
      <c r="C262" s="66" t="s">
        <v>47</v>
      </c>
      <c r="D262" s="67" t="s">
        <v>32</v>
      </c>
      <c r="E262" s="70">
        <v>920</v>
      </c>
      <c r="F262" s="45" t="s">
        <v>299</v>
      </c>
      <c r="G262" s="45" t="s">
        <v>26</v>
      </c>
      <c r="H262" s="46">
        <v>0.9</v>
      </c>
      <c r="I262" s="45" t="s">
        <v>27</v>
      </c>
      <c r="J262" s="47">
        <v>0.9</v>
      </c>
      <c r="K262" s="47">
        <f t="shared" si="36"/>
        <v>828</v>
      </c>
      <c r="L262" s="45" t="s">
        <v>300</v>
      </c>
      <c r="M262" s="45" t="s">
        <v>26</v>
      </c>
      <c r="N262" s="46">
        <v>0.96</v>
      </c>
      <c r="O262" s="45" t="s">
        <v>27</v>
      </c>
      <c r="P262" s="47">
        <v>0.96</v>
      </c>
      <c r="Q262" s="47">
        <f t="shared" si="37"/>
        <v>883.19999999999993</v>
      </c>
      <c r="R262" s="45" t="s">
        <v>301</v>
      </c>
      <c r="S262" s="45" t="s">
        <v>26</v>
      </c>
      <c r="T262" s="46">
        <v>1.03</v>
      </c>
      <c r="U262" s="45" t="s">
        <v>27</v>
      </c>
      <c r="V262" s="47">
        <f t="shared" si="38"/>
        <v>1.03</v>
      </c>
      <c r="W262" s="47">
        <f t="shared" si="39"/>
        <v>947.6</v>
      </c>
      <c r="X262" s="48">
        <f t="shared" si="40"/>
        <v>0.9</v>
      </c>
      <c r="Y262" s="49"/>
      <c r="Z262" s="50">
        <f t="shared" si="41"/>
        <v>0.96333333333333326</v>
      </c>
      <c r="AA262" s="51">
        <f t="shared" si="42"/>
        <v>-6.5743944636678151</v>
      </c>
      <c r="AB262" s="50">
        <f t="shared" si="43"/>
        <v>828</v>
      </c>
    </row>
    <row r="263" spans="1:28" ht="25.5" customHeight="1" x14ac:dyDescent="0.25">
      <c r="A263" s="53">
        <f t="shared" si="45"/>
        <v>254</v>
      </c>
      <c r="B263" s="65" t="s">
        <v>355</v>
      </c>
      <c r="C263" s="66" t="s">
        <v>47</v>
      </c>
      <c r="D263" s="67" t="s">
        <v>32</v>
      </c>
      <c r="E263" s="70">
        <v>560</v>
      </c>
      <c r="F263" s="45" t="s">
        <v>299</v>
      </c>
      <c r="G263" s="45" t="s">
        <v>26</v>
      </c>
      <c r="H263" s="46">
        <v>1.3</v>
      </c>
      <c r="I263" s="45" t="s">
        <v>27</v>
      </c>
      <c r="J263" s="47">
        <v>1.3</v>
      </c>
      <c r="K263" s="47">
        <f t="shared" si="36"/>
        <v>728</v>
      </c>
      <c r="L263" s="45" t="s">
        <v>300</v>
      </c>
      <c r="M263" s="45" t="s">
        <v>26</v>
      </c>
      <c r="N263" s="46">
        <v>1.35</v>
      </c>
      <c r="O263" s="45" t="s">
        <v>27</v>
      </c>
      <c r="P263" s="47">
        <v>1.35</v>
      </c>
      <c r="Q263" s="47">
        <f t="shared" si="37"/>
        <v>756</v>
      </c>
      <c r="R263" s="45" t="s">
        <v>301</v>
      </c>
      <c r="S263" s="45" t="s">
        <v>26</v>
      </c>
      <c r="T263" s="46">
        <v>1.43</v>
      </c>
      <c r="U263" s="45" t="s">
        <v>27</v>
      </c>
      <c r="V263" s="47">
        <f t="shared" si="38"/>
        <v>1.43</v>
      </c>
      <c r="W263" s="47">
        <f t="shared" si="39"/>
        <v>800.8</v>
      </c>
      <c r="X263" s="48">
        <f t="shared" si="40"/>
        <v>1.3</v>
      </c>
      <c r="Y263" s="49"/>
      <c r="Z263" s="50">
        <f t="shared" si="41"/>
        <v>1.36</v>
      </c>
      <c r="AA263" s="51">
        <f t="shared" si="42"/>
        <v>-4.4117647058823621</v>
      </c>
      <c r="AB263" s="50">
        <f t="shared" si="43"/>
        <v>728</v>
      </c>
    </row>
    <row r="264" spans="1:28" ht="25.5" customHeight="1" x14ac:dyDescent="0.25">
      <c r="A264" s="53">
        <f t="shared" si="45"/>
        <v>255</v>
      </c>
      <c r="B264" s="65" t="s">
        <v>356</v>
      </c>
      <c r="C264" s="66" t="s">
        <v>47</v>
      </c>
      <c r="D264" s="67" t="s">
        <v>32</v>
      </c>
      <c r="E264" s="70">
        <v>49</v>
      </c>
      <c r="F264" s="45" t="s">
        <v>299</v>
      </c>
      <c r="G264" s="45" t="s">
        <v>26</v>
      </c>
      <c r="H264" s="46">
        <v>503</v>
      </c>
      <c r="I264" s="45" t="s">
        <v>27</v>
      </c>
      <c r="J264" s="47">
        <v>503</v>
      </c>
      <c r="K264" s="47">
        <f t="shared" si="36"/>
        <v>24647</v>
      </c>
      <c r="L264" s="45" t="s">
        <v>300</v>
      </c>
      <c r="M264" s="45" t="s">
        <v>26</v>
      </c>
      <c r="N264" s="46">
        <v>553.79999999999995</v>
      </c>
      <c r="O264" s="45" t="s">
        <v>27</v>
      </c>
      <c r="P264" s="47">
        <v>553.79999999999995</v>
      </c>
      <c r="Q264" s="47">
        <f t="shared" si="37"/>
        <v>27136.199999999997</v>
      </c>
      <c r="R264" s="45" t="s">
        <v>301</v>
      </c>
      <c r="S264" s="45" t="s">
        <v>26</v>
      </c>
      <c r="T264" s="46">
        <v>595.34</v>
      </c>
      <c r="U264" s="45" t="s">
        <v>27</v>
      </c>
      <c r="V264" s="47">
        <f t="shared" si="38"/>
        <v>595.34</v>
      </c>
      <c r="W264" s="47">
        <f t="shared" si="39"/>
        <v>29171.66</v>
      </c>
      <c r="X264" s="48">
        <f t="shared" si="40"/>
        <v>503</v>
      </c>
      <c r="Y264" s="49"/>
      <c r="Z264" s="50">
        <f t="shared" si="41"/>
        <v>550.71333333333325</v>
      </c>
      <c r="AA264" s="51">
        <f t="shared" si="42"/>
        <v>-8.6639146803539546</v>
      </c>
      <c r="AB264" s="50">
        <f t="shared" si="43"/>
        <v>24647</v>
      </c>
    </row>
    <row r="265" spans="1:28" ht="25.5" customHeight="1" x14ac:dyDescent="0.25">
      <c r="A265" s="53">
        <f t="shared" si="45"/>
        <v>256</v>
      </c>
      <c r="B265" s="65" t="s">
        <v>357</v>
      </c>
      <c r="C265" s="66" t="s">
        <v>47</v>
      </c>
      <c r="D265" s="67" t="s">
        <v>24</v>
      </c>
      <c r="E265" s="70">
        <v>38</v>
      </c>
      <c r="F265" s="45" t="s">
        <v>299</v>
      </c>
      <c r="G265" s="45" t="s">
        <v>26</v>
      </c>
      <c r="H265" s="46">
        <v>1500</v>
      </c>
      <c r="I265" s="45" t="s">
        <v>27</v>
      </c>
      <c r="J265" s="47">
        <v>1500</v>
      </c>
      <c r="K265" s="47">
        <f t="shared" si="36"/>
        <v>57000</v>
      </c>
      <c r="L265" s="45" t="s">
        <v>300</v>
      </c>
      <c r="M265" s="45" t="s">
        <v>26</v>
      </c>
      <c r="N265" s="46">
        <v>1593</v>
      </c>
      <c r="O265" s="45" t="s">
        <v>27</v>
      </c>
      <c r="P265" s="47">
        <v>1593</v>
      </c>
      <c r="Q265" s="47">
        <f t="shared" si="37"/>
        <v>60534</v>
      </c>
      <c r="R265" s="45" t="s">
        <v>301</v>
      </c>
      <c r="S265" s="45" t="s">
        <v>26</v>
      </c>
      <c r="T265" s="46">
        <v>1694.95</v>
      </c>
      <c r="U265" s="45" t="s">
        <v>27</v>
      </c>
      <c r="V265" s="47">
        <f t="shared" si="38"/>
        <v>1694.95</v>
      </c>
      <c r="W265" s="47">
        <f t="shared" si="39"/>
        <v>64408.1</v>
      </c>
      <c r="X265" s="48">
        <f t="shared" si="40"/>
        <v>1500</v>
      </c>
      <c r="Y265" s="49"/>
      <c r="Z265" s="50">
        <f t="shared" si="41"/>
        <v>1595.9833333333333</v>
      </c>
      <c r="AA265" s="51">
        <f t="shared" si="42"/>
        <v>-6.0140561200513787</v>
      </c>
      <c r="AB265" s="50">
        <f t="shared" si="43"/>
        <v>57000</v>
      </c>
    </row>
    <row r="266" spans="1:28" ht="73.150000000000006" customHeight="1" x14ac:dyDescent="0.25">
      <c r="A266" s="53">
        <f t="shared" si="45"/>
        <v>257</v>
      </c>
      <c r="B266" s="65" t="s">
        <v>358</v>
      </c>
      <c r="C266" s="66" t="s">
        <v>47</v>
      </c>
      <c r="D266" s="67" t="s">
        <v>24</v>
      </c>
      <c r="E266" s="70">
        <v>340.08</v>
      </c>
      <c r="F266" s="45" t="s">
        <v>299</v>
      </c>
      <c r="G266" s="45" t="s">
        <v>26</v>
      </c>
      <c r="H266" s="46">
        <v>1046.5</v>
      </c>
      <c r="I266" s="45" t="s">
        <v>27</v>
      </c>
      <c r="J266" s="47">
        <v>1046.5</v>
      </c>
      <c r="K266" s="47">
        <f t="shared" ref="K266:K329" si="46">J266*E266</f>
        <v>355893.72</v>
      </c>
      <c r="L266" s="45" t="s">
        <v>300</v>
      </c>
      <c r="M266" s="45" t="s">
        <v>26</v>
      </c>
      <c r="N266" s="46">
        <v>1141.73</v>
      </c>
      <c r="O266" s="45" t="s">
        <v>27</v>
      </c>
      <c r="P266" s="47">
        <v>1141.73</v>
      </c>
      <c r="Q266" s="47">
        <f t="shared" ref="Q266:Q329" si="47">E266*P266</f>
        <v>388279.53839999996</v>
      </c>
      <c r="R266" s="45" t="s">
        <v>301</v>
      </c>
      <c r="S266" s="45" t="s">
        <v>26</v>
      </c>
      <c r="T266" s="46">
        <v>1198.82</v>
      </c>
      <c r="U266" s="45" t="s">
        <v>27</v>
      </c>
      <c r="V266" s="47">
        <f t="shared" ref="V266:V310" si="48">T266</f>
        <v>1198.82</v>
      </c>
      <c r="W266" s="47">
        <f t="shared" ref="W266:W329" si="49">V266*E266</f>
        <v>407694.70559999999</v>
      </c>
      <c r="X266" s="48">
        <f t="shared" ref="X266:X310" si="50">MIN(H266,N266,T266)</f>
        <v>1046.5</v>
      </c>
      <c r="Y266" s="49"/>
      <c r="Z266" s="50">
        <f t="shared" ref="Z266:Z310" si="51">AVERAGE(H266,N266,T266)</f>
        <v>1129.0166666666667</v>
      </c>
      <c r="AA266" s="51">
        <f t="shared" ref="AA266:AA329" si="52">X266*100/Z266-100</f>
        <v>-7.3087199775615943</v>
      </c>
      <c r="AB266" s="50">
        <f t="shared" ref="AB266:AB310" si="53">X266*E266</f>
        <v>355893.72</v>
      </c>
    </row>
    <row r="267" spans="1:28" ht="73.150000000000006" customHeight="1" x14ac:dyDescent="0.25">
      <c r="A267" s="53">
        <f t="shared" si="45"/>
        <v>258</v>
      </c>
      <c r="B267" s="65" t="s">
        <v>359</v>
      </c>
      <c r="C267" s="66" t="s">
        <v>47</v>
      </c>
      <c r="D267" s="67" t="s">
        <v>24</v>
      </c>
      <c r="E267" s="70">
        <v>285.60000000000002</v>
      </c>
      <c r="F267" s="45" t="s">
        <v>299</v>
      </c>
      <c r="G267" s="45" t="s">
        <v>26</v>
      </c>
      <c r="H267" s="46">
        <v>1500</v>
      </c>
      <c r="I267" s="45" t="s">
        <v>27</v>
      </c>
      <c r="J267" s="47">
        <v>1500</v>
      </c>
      <c r="K267" s="47">
        <f t="shared" si="46"/>
        <v>428400.00000000006</v>
      </c>
      <c r="L267" s="45" t="s">
        <v>300</v>
      </c>
      <c r="M267" s="45" t="s">
        <v>26</v>
      </c>
      <c r="N267" s="46">
        <v>1554</v>
      </c>
      <c r="O267" s="45" t="s">
        <v>27</v>
      </c>
      <c r="P267" s="47">
        <v>1554</v>
      </c>
      <c r="Q267" s="47">
        <f t="shared" si="47"/>
        <v>443822.4</v>
      </c>
      <c r="R267" s="45" t="s">
        <v>301</v>
      </c>
      <c r="S267" s="45" t="s">
        <v>26</v>
      </c>
      <c r="T267" s="46">
        <v>1672.1</v>
      </c>
      <c r="U267" s="45" t="s">
        <v>27</v>
      </c>
      <c r="V267" s="47">
        <f t="shared" si="48"/>
        <v>1672.1</v>
      </c>
      <c r="W267" s="47">
        <f t="shared" si="49"/>
        <v>477551.76</v>
      </c>
      <c r="X267" s="48">
        <f t="shared" si="50"/>
        <v>1500</v>
      </c>
      <c r="Y267" s="49"/>
      <c r="Z267" s="50">
        <f t="shared" si="51"/>
        <v>1575.3666666666668</v>
      </c>
      <c r="AA267" s="51">
        <f t="shared" si="52"/>
        <v>-4.7840714331055239</v>
      </c>
      <c r="AB267" s="50">
        <f t="shared" si="53"/>
        <v>428400.00000000006</v>
      </c>
    </row>
    <row r="268" spans="1:28" ht="73.150000000000006" customHeight="1" x14ac:dyDescent="0.25">
      <c r="A268" s="53">
        <f t="shared" si="45"/>
        <v>259</v>
      </c>
      <c r="B268" s="65" t="s">
        <v>360</v>
      </c>
      <c r="C268" s="66" t="s">
        <v>47</v>
      </c>
      <c r="D268" s="67" t="s">
        <v>24</v>
      </c>
      <c r="E268" s="70">
        <v>735.42</v>
      </c>
      <c r="F268" s="45" t="s">
        <v>299</v>
      </c>
      <c r="G268" s="45" t="s">
        <v>26</v>
      </c>
      <c r="H268" s="46">
        <v>3634.24</v>
      </c>
      <c r="I268" s="45" t="s">
        <v>27</v>
      </c>
      <c r="J268" s="47">
        <v>3634.24</v>
      </c>
      <c r="K268" s="47">
        <f t="shared" si="46"/>
        <v>2672692.7807999998</v>
      </c>
      <c r="L268" s="45" t="s">
        <v>300</v>
      </c>
      <c r="M268" s="45" t="s">
        <v>26</v>
      </c>
      <c r="N268" s="46">
        <v>4052.18</v>
      </c>
      <c r="O268" s="45" t="s">
        <v>27</v>
      </c>
      <c r="P268" s="47">
        <v>4052.18</v>
      </c>
      <c r="Q268" s="47">
        <f t="shared" si="47"/>
        <v>2980054.2155999998</v>
      </c>
      <c r="R268" s="45" t="s">
        <v>301</v>
      </c>
      <c r="S268" s="45" t="s">
        <v>26</v>
      </c>
      <c r="T268" s="46">
        <v>4295.3100000000004</v>
      </c>
      <c r="U268" s="45" t="s">
        <v>27</v>
      </c>
      <c r="V268" s="47">
        <f t="shared" si="48"/>
        <v>4295.3100000000004</v>
      </c>
      <c r="W268" s="47">
        <f t="shared" si="49"/>
        <v>3158856.8802</v>
      </c>
      <c r="X268" s="48">
        <f t="shared" si="50"/>
        <v>3634.24</v>
      </c>
      <c r="Y268" s="49"/>
      <c r="Z268" s="50">
        <f t="shared" si="51"/>
        <v>3993.91</v>
      </c>
      <c r="AA268" s="51">
        <f t="shared" si="52"/>
        <v>-9.0054608140894459</v>
      </c>
      <c r="AB268" s="50">
        <f t="shared" si="53"/>
        <v>2672692.7807999998</v>
      </c>
    </row>
    <row r="269" spans="1:28" ht="73.150000000000006" customHeight="1" x14ac:dyDescent="0.25">
      <c r="A269" s="53">
        <f t="shared" si="45"/>
        <v>260</v>
      </c>
      <c r="B269" s="65" t="s">
        <v>361</v>
      </c>
      <c r="C269" s="66" t="s">
        <v>47</v>
      </c>
      <c r="D269" s="67" t="s">
        <v>24</v>
      </c>
      <c r="E269" s="70">
        <v>2020.62</v>
      </c>
      <c r="F269" s="45" t="s">
        <v>299</v>
      </c>
      <c r="G269" s="45" t="s">
        <v>26</v>
      </c>
      <c r="H269" s="46">
        <v>6879.89</v>
      </c>
      <c r="I269" s="45" t="s">
        <v>27</v>
      </c>
      <c r="J269" s="47">
        <v>6879.89</v>
      </c>
      <c r="K269" s="47">
        <f t="shared" si="46"/>
        <v>13901643.331800001</v>
      </c>
      <c r="L269" s="45" t="s">
        <v>300</v>
      </c>
      <c r="M269" s="45" t="s">
        <v>26</v>
      </c>
      <c r="N269" s="46">
        <v>7285.8</v>
      </c>
      <c r="O269" s="45" t="s">
        <v>27</v>
      </c>
      <c r="P269" s="47">
        <v>7285.8</v>
      </c>
      <c r="Q269" s="47">
        <f t="shared" si="47"/>
        <v>14721833.196</v>
      </c>
      <c r="R269" s="45" t="s">
        <v>301</v>
      </c>
      <c r="S269" s="45" t="s">
        <v>26</v>
      </c>
      <c r="T269" s="46">
        <v>7868.66</v>
      </c>
      <c r="U269" s="45" t="s">
        <v>27</v>
      </c>
      <c r="V269" s="47">
        <f t="shared" si="48"/>
        <v>7868.66</v>
      </c>
      <c r="W269" s="47">
        <f t="shared" si="49"/>
        <v>15899571.769199999</v>
      </c>
      <c r="X269" s="48">
        <f t="shared" si="50"/>
        <v>6879.89</v>
      </c>
      <c r="Y269" s="49"/>
      <c r="Z269" s="50">
        <f t="shared" si="51"/>
        <v>7344.7833333333328</v>
      </c>
      <c r="AA269" s="51">
        <f t="shared" si="52"/>
        <v>-6.3295717822399951</v>
      </c>
      <c r="AB269" s="50">
        <f t="shared" si="53"/>
        <v>13901643.331800001</v>
      </c>
    </row>
    <row r="270" spans="1:28" ht="73.150000000000006" customHeight="1" x14ac:dyDescent="0.25">
      <c r="A270" s="53">
        <f t="shared" si="45"/>
        <v>261</v>
      </c>
      <c r="B270" s="65" t="s">
        <v>362</v>
      </c>
      <c r="C270" s="66" t="s">
        <v>47</v>
      </c>
      <c r="D270" s="67" t="s">
        <v>24</v>
      </c>
      <c r="E270" s="70">
        <v>213.3</v>
      </c>
      <c r="F270" s="45" t="s">
        <v>299</v>
      </c>
      <c r="G270" s="45" t="s">
        <v>26</v>
      </c>
      <c r="H270" s="46">
        <v>620</v>
      </c>
      <c r="I270" s="45" t="s">
        <v>27</v>
      </c>
      <c r="J270" s="47">
        <v>620</v>
      </c>
      <c r="K270" s="47">
        <f t="shared" si="46"/>
        <v>132246</v>
      </c>
      <c r="L270" s="45" t="s">
        <v>300</v>
      </c>
      <c r="M270" s="45" t="s">
        <v>26</v>
      </c>
      <c r="N270" s="46">
        <v>670.84</v>
      </c>
      <c r="O270" s="45" t="s">
        <v>27</v>
      </c>
      <c r="P270" s="47">
        <v>670.84</v>
      </c>
      <c r="Q270" s="47">
        <f t="shared" si="47"/>
        <v>143090.17200000002</v>
      </c>
      <c r="R270" s="45" t="s">
        <v>301</v>
      </c>
      <c r="S270" s="45" t="s">
        <v>26</v>
      </c>
      <c r="T270" s="46">
        <v>703.71</v>
      </c>
      <c r="U270" s="45" t="s">
        <v>27</v>
      </c>
      <c r="V270" s="47">
        <f t="shared" si="48"/>
        <v>703.71</v>
      </c>
      <c r="W270" s="47">
        <f t="shared" si="49"/>
        <v>150101.34300000002</v>
      </c>
      <c r="X270" s="48">
        <f t="shared" si="50"/>
        <v>620</v>
      </c>
      <c r="Y270" s="49"/>
      <c r="Z270" s="50">
        <f t="shared" si="51"/>
        <v>664.85</v>
      </c>
      <c r="AA270" s="51">
        <f t="shared" si="52"/>
        <v>-6.7458825298939615</v>
      </c>
      <c r="AB270" s="50">
        <f t="shared" si="53"/>
        <v>132246</v>
      </c>
    </row>
    <row r="271" spans="1:28" ht="73.150000000000006" customHeight="1" x14ac:dyDescent="0.25">
      <c r="A271" s="53">
        <f t="shared" si="45"/>
        <v>262</v>
      </c>
      <c r="B271" s="65" t="s">
        <v>363</v>
      </c>
      <c r="C271" s="66" t="s">
        <v>47</v>
      </c>
      <c r="D271" s="67" t="s">
        <v>24</v>
      </c>
      <c r="E271" s="70">
        <v>1308.6600000000001</v>
      </c>
      <c r="F271" s="45" t="s">
        <v>299</v>
      </c>
      <c r="G271" s="45" t="s">
        <v>26</v>
      </c>
      <c r="H271" s="46">
        <v>159.76</v>
      </c>
      <c r="I271" s="45" t="s">
        <v>27</v>
      </c>
      <c r="J271" s="47">
        <v>159.76</v>
      </c>
      <c r="K271" s="47">
        <f t="shared" si="46"/>
        <v>209071.52160000001</v>
      </c>
      <c r="L271" s="45" t="s">
        <v>300</v>
      </c>
      <c r="M271" s="45" t="s">
        <v>26</v>
      </c>
      <c r="N271" s="46">
        <v>178.93</v>
      </c>
      <c r="O271" s="45" t="s">
        <v>27</v>
      </c>
      <c r="P271" s="47">
        <v>178.93</v>
      </c>
      <c r="Q271" s="47">
        <f t="shared" si="47"/>
        <v>234158.53380000003</v>
      </c>
      <c r="R271" s="45" t="s">
        <v>301</v>
      </c>
      <c r="S271" s="45" t="s">
        <v>26</v>
      </c>
      <c r="T271" s="46">
        <v>189.13</v>
      </c>
      <c r="U271" s="45" t="s">
        <v>27</v>
      </c>
      <c r="V271" s="47">
        <f t="shared" si="48"/>
        <v>189.13</v>
      </c>
      <c r="W271" s="47">
        <f t="shared" si="49"/>
        <v>247506.8658</v>
      </c>
      <c r="X271" s="48">
        <f t="shared" si="50"/>
        <v>159.76</v>
      </c>
      <c r="Y271" s="49"/>
      <c r="Z271" s="50">
        <f t="shared" si="51"/>
        <v>175.93999999999997</v>
      </c>
      <c r="AA271" s="51">
        <f t="shared" si="52"/>
        <v>-9.1963169262248385</v>
      </c>
      <c r="AB271" s="50">
        <f t="shared" si="53"/>
        <v>209071.52160000001</v>
      </c>
    </row>
    <row r="272" spans="1:28" ht="73.150000000000006" customHeight="1" x14ac:dyDescent="0.25">
      <c r="A272" s="53">
        <f t="shared" si="45"/>
        <v>263</v>
      </c>
      <c r="B272" s="65" t="s">
        <v>364</v>
      </c>
      <c r="C272" s="66" t="s">
        <v>47</v>
      </c>
      <c r="D272" s="67" t="s">
        <v>24</v>
      </c>
      <c r="E272" s="70">
        <v>1074.06</v>
      </c>
      <c r="F272" s="45" t="s">
        <v>299</v>
      </c>
      <c r="G272" s="45" t="s">
        <v>26</v>
      </c>
      <c r="H272" s="46">
        <v>214.15</v>
      </c>
      <c r="I272" s="45" t="s">
        <v>27</v>
      </c>
      <c r="J272" s="47">
        <v>214.15</v>
      </c>
      <c r="K272" s="47">
        <f t="shared" si="46"/>
        <v>230009.94899999999</v>
      </c>
      <c r="L272" s="45" t="s">
        <v>300</v>
      </c>
      <c r="M272" s="45" t="s">
        <v>26</v>
      </c>
      <c r="N272" s="46">
        <v>223.36</v>
      </c>
      <c r="O272" s="45" t="s">
        <v>27</v>
      </c>
      <c r="P272" s="47">
        <v>223.36</v>
      </c>
      <c r="Q272" s="47">
        <f t="shared" si="47"/>
        <v>239902.0416</v>
      </c>
      <c r="R272" s="45" t="s">
        <v>301</v>
      </c>
      <c r="S272" s="45" t="s">
        <v>26</v>
      </c>
      <c r="T272" s="46">
        <v>238.77</v>
      </c>
      <c r="U272" s="45" t="s">
        <v>27</v>
      </c>
      <c r="V272" s="47">
        <f t="shared" si="48"/>
        <v>238.77</v>
      </c>
      <c r="W272" s="47">
        <f t="shared" si="49"/>
        <v>256453.30619999999</v>
      </c>
      <c r="X272" s="48">
        <f t="shared" si="50"/>
        <v>214.15</v>
      </c>
      <c r="Y272" s="49"/>
      <c r="Z272" s="50">
        <f t="shared" si="51"/>
        <v>225.42666666666665</v>
      </c>
      <c r="AA272" s="51">
        <f t="shared" si="52"/>
        <v>-5.002365883953388</v>
      </c>
      <c r="AB272" s="50">
        <f t="shared" si="53"/>
        <v>230009.94899999999</v>
      </c>
    </row>
    <row r="273" spans="1:28" ht="73.150000000000006" customHeight="1" x14ac:dyDescent="0.25">
      <c r="A273" s="53">
        <f t="shared" si="45"/>
        <v>264</v>
      </c>
      <c r="B273" s="65" t="s">
        <v>365</v>
      </c>
      <c r="C273" s="66" t="s">
        <v>47</v>
      </c>
      <c r="D273" s="67" t="s">
        <v>24</v>
      </c>
      <c r="E273" s="70">
        <v>1438.2</v>
      </c>
      <c r="F273" s="45" t="s">
        <v>299</v>
      </c>
      <c r="G273" s="45" t="s">
        <v>26</v>
      </c>
      <c r="H273" s="46">
        <v>792.29</v>
      </c>
      <c r="I273" s="45" t="s">
        <v>27</v>
      </c>
      <c r="J273" s="47">
        <v>792.29</v>
      </c>
      <c r="K273" s="47">
        <f t="shared" si="46"/>
        <v>1139471.4779999999</v>
      </c>
      <c r="L273" s="45" t="s">
        <v>300</v>
      </c>
      <c r="M273" s="45" t="s">
        <v>26</v>
      </c>
      <c r="N273" s="46">
        <v>851.71</v>
      </c>
      <c r="O273" s="45" t="s">
        <v>27</v>
      </c>
      <c r="P273" s="47">
        <v>851.71</v>
      </c>
      <c r="Q273" s="47">
        <f t="shared" si="47"/>
        <v>1224929.3220000002</v>
      </c>
      <c r="R273" s="45" t="s">
        <v>301</v>
      </c>
      <c r="S273" s="45" t="s">
        <v>26</v>
      </c>
      <c r="T273" s="46">
        <v>913.88</v>
      </c>
      <c r="U273" s="45" t="s">
        <v>27</v>
      </c>
      <c r="V273" s="47">
        <f t="shared" si="48"/>
        <v>913.88</v>
      </c>
      <c r="W273" s="47">
        <f t="shared" si="49"/>
        <v>1314342.216</v>
      </c>
      <c r="X273" s="48">
        <f t="shared" si="50"/>
        <v>792.29</v>
      </c>
      <c r="Y273" s="49"/>
      <c r="Z273" s="50">
        <f t="shared" si="51"/>
        <v>852.62666666666667</v>
      </c>
      <c r="AA273" s="51">
        <f t="shared" si="52"/>
        <v>-7.0765634040689918</v>
      </c>
      <c r="AB273" s="50">
        <f t="shared" si="53"/>
        <v>1139471.4779999999</v>
      </c>
    </row>
    <row r="274" spans="1:28" ht="76.900000000000006" customHeight="1" x14ac:dyDescent="0.25">
      <c r="A274" s="53">
        <f t="shared" si="45"/>
        <v>265</v>
      </c>
      <c r="B274" s="65" t="s">
        <v>366</v>
      </c>
      <c r="C274" s="66" t="s">
        <v>47</v>
      </c>
      <c r="D274" s="67" t="s">
        <v>24</v>
      </c>
      <c r="E274" s="70">
        <v>1991.04</v>
      </c>
      <c r="F274" s="45" t="s">
        <v>299</v>
      </c>
      <c r="G274" s="45" t="s">
        <v>26</v>
      </c>
      <c r="H274" s="46">
        <v>341.73</v>
      </c>
      <c r="I274" s="45" t="s">
        <v>27</v>
      </c>
      <c r="J274" s="47">
        <v>341.73</v>
      </c>
      <c r="K274" s="47">
        <f t="shared" si="46"/>
        <v>680398.09920000006</v>
      </c>
      <c r="L274" s="45" t="s">
        <v>300</v>
      </c>
      <c r="M274" s="45" t="s">
        <v>26</v>
      </c>
      <c r="N274" s="46">
        <v>378.98</v>
      </c>
      <c r="O274" s="45" t="s">
        <v>27</v>
      </c>
      <c r="P274" s="47">
        <v>378.98</v>
      </c>
      <c r="Q274" s="47">
        <f t="shared" si="47"/>
        <v>754564.33920000005</v>
      </c>
      <c r="R274" s="45" t="s">
        <v>301</v>
      </c>
      <c r="S274" s="45" t="s">
        <v>26</v>
      </c>
      <c r="T274" s="46">
        <v>398.69</v>
      </c>
      <c r="U274" s="45" t="s">
        <v>27</v>
      </c>
      <c r="V274" s="47">
        <f t="shared" si="48"/>
        <v>398.69</v>
      </c>
      <c r="W274" s="47">
        <f t="shared" si="49"/>
        <v>793807.73759999999</v>
      </c>
      <c r="X274" s="48">
        <f t="shared" si="50"/>
        <v>341.73</v>
      </c>
      <c r="Y274" s="49"/>
      <c r="Z274" s="50">
        <f t="shared" si="51"/>
        <v>373.13333333333338</v>
      </c>
      <c r="AA274" s="51">
        <f t="shared" si="52"/>
        <v>-8.4161157763087431</v>
      </c>
      <c r="AB274" s="50">
        <f t="shared" si="53"/>
        <v>680398.09920000006</v>
      </c>
    </row>
    <row r="275" spans="1:28" ht="76.900000000000006" customHeight="1" x14ac:dyDescent="0.25">
      <c r="A275" s="53">
        <f t="shared" si="45"/>
        <v>266</v>
      </c>
      <c r="B275" s="65" t="s">
        <v>367</v>
      </c>
      <c r="C275" s="66" t="s">
        <v>47</v>
      </c>
      <c r="D275" s="67" t="s">
        <v>24</v>
      </c>
      <c r="E275" s="70">
        <v>2494.92</v>
      </c>
      <c r="F275" s="45" t="s">
        <v>299</v>
      </c>
      <c r="G275" s="45" t="s">
        <v>26</v>
      </c>
      <c r="H275" s="46">
        <v>495.81</v>
      </c>
      <c r="I275" s="45" t="s">
        <v>27</v>
      </c>
      <c r="J275" s="47">
        <v>495.81</v>
      </c>
      <c r="K275" s="47">
        <f t="shared" si="46"/>
        <v>1237006.2852</v>
      </c>
      <c r="L275" s="45" t="s">
        <v>300</v>
      </c>
      <c r="M275" s="45" t="s">
        <v>26</v>
      </c>
      <c r="N275" s="46">
        <v>529.03</v>
      </c>
      <c r="O275" s="45" t="s">
        <v>27</v>
      </c>
      <c r="P275" s="47">
        <v>529.03</v>
      </c>
      <c r="Q275" s="47">
        <f t="shared" si="47"/>
        <v>1319887.5275999999</v>
      </c>
      <c r="R275" s="45" t="s">
        <v>301</v>
      </c>
      <c r="S275" s="45" t="s">
        <v>26</v>
      </c>
      <c r="T275" s="46">
        <v>563.95000000000005</v>
      </c>
      <c r="U275" s="45" t="s">
        <v>27</v>
      </c>
      <c r="V275" s="47">
        <f t="shared" si="48"/>
        <v>563.95000000000005</v>
      </c>
      <c r="W275" s="47">
        <f t="shared" si="49"/>
        <v>1407010.1340000001</v>
      </c>
      <c r="X275" s="48">
        <f t="shared" si="50"/>
        <v>495.81</v>
      </c>
      <c r="Y275" s="49"/>
      <c r="Z275" s="50">
        <f t="shared" si="51"/>
        <v>529.59666666666669</v>
      </c>
      <c r="AA275" s="51">
        <f t="shared" si="52"/>
        <v>-6.3796977574128846</v>
      </c>
      <c r="AB275" s="50">
        <f t="shared" si="53"/>
        <v>1237006.2852</v>
      </c>
    </row>
    <row r="276" spans="1:28" ht="39.200000000000003" customHeight="1" x14ac:dyDescent="0.25">
      <c r="A276" s="53">
        <f t="shared" si="45"/>
        <v>267</v>
      </c>
      <c r="B276" s="65" t="s">
        <v>368</v>
      </c>
      <c r="C276" s="66" t="s">
        <v>47</v>
      </c>
      <c r="D276" s="67" t="s">
        <v>24</v>
      </c>
      <c r="E276" s="70">
        <v>8.16</v>
      </c>
      <c r="F276" s="45" t="s">
        <v>299</v>
      </c>
      <c r="G276" s="45" t="s">
        <v>26</v>
      </c>
      <c r="H276" s="46">
        <v>226.91</v>
      </c>
      <c r="I276" s="45" t="s">
        <v>27</v>
      </c>
      <c r="J276" s="47">
        <v>226.91</v>
      </c>
      <c r="K276" s="47">
        <f t="shared" si="46"/>
        <v>1851.5856000000001</v>
      </c>
      <c r="L276" s="45" t="s">
        <v>300</v>
      </c>
      <c r="M276" s="45" t="s">
        <v>26</v>
      </c>
      <c r="N276" s="46">
        <v>248.69</v>
      </c>
      <c r="O276" s="45" t="s">
        <v>27</v>
      </c>
      <c r="P276" s="47">
        <v>248.69</v>
      </c>
      <c r="Q276" s="47">
        <f t="shared" si="47"/>
        <v>2029.3104000000001</v>
      </c>
      <c r="R276" s="45" t="s">
        <v>301</v>
      </c>
      <c r="S276" s="45" t="s">
        <v>26</v>
      </c>
      <c r="T276" s="46">
        <v>260.63</v>
      </c>
      <c r="U276" s="45" t="s">
        <v>27</v>
      </c>
      <c r="V276" s="47">
        <f t="shared" si="48"/>
        <v>260.63</v>
      </c>
      <c r="W276" s="47">
        <f t="shared" si="49"/>
        <v>2126.7408</v>
      </c>
      <c r="X276" s="48">
        <f t="shared" si="50"/>
        <v>226.91</v>
      </c>
      <c r="Y276" s="49"/>
      <c r="Z276" s="50">
        <f t="shared" si="51"/>
        <v>245.41</v>
      </c>
      <c r="AA276" s="51">
        <f t="shared" si="52"/>
        <v>-7.5384051179658513</v>
      </c>
      <c r="AB276" s="50">
        <f t="shared" si="53"/>
        <v>1851.5856000000001</v>
      </c>
    </row>
    <row r="277" spans="1:28" ht="39.200000000000003" customHeight="1" x14ac:dyDescent="0.25">
      <c r="A277" s="53">
        <f t="shared" si="45"/>
        <v>268</v>
      </c>
      <c r="B277" s="65" t="s">
        <v>369</v>
      </c>
      <c r="C277" s="66" t="s">
        <v>47</v>
      </c>
      <c r="D277" s="67" t="s">
        <v>24</v>
      </c>
      <c r="E277" s="70">
        <v>14.28</v>
      </c>
      <c r="F277" s="45" t="s">
        <v>299</v>
      </c>
      <c r="G277" s="45" t="s">
        <v>26</v>
      </c>
      <c r="H277" s="46">
        <v>36.659999999999997</v>
      </c>
      <c r="I277" s="45" t="s">
        <v>27</v>
      </c>
      <c r="J277" s="47">
        <v>36.659999999999997</v>
      </c>
      <c r="K277" s="47">
        <f t="shared" si="46"/>
        <v>523.50479999999993</v>
      </c>
      <c r="L277" s="45" t="s">
        <v>300</v>
      </c>
      <c r="M277" s="45" t="s">
        <v>26</v>
      </c>
      <c r="N277" s="46">
        <v>38.49</v>
      </c>
      <c r="O277" s="45" t="s">
        <v>27</v>
      </c>
      <c r="P277" s="47">
        <v>38.49</v>
      </c>
      <c r="Q277" s="47">
        <f t="shared" si="47"/>
        <v>549.63720000000001</v>
      </c>
      <c r="R277" s="45" t="s">
        <v>301</v>
      </c>
      <c r="S277" s="45" t="s">
        <v>26</v>
      </c>
      <c r="T277" s="46">
        <v>40.57</v>
      </c>
      <c r="U277" s="45" t="s">
        <v>27</v>
      </c>
      <c r="V277" s="47">
        <f t="shared" si="48"/>
        <v>40.57</v>
      </c>
      <c r="W277" s="47">
        <f t="shared" si="49"/>
        <v>579.33960000000002</v>
      </c>
      <c r="X277" s="48">
        <f t="shared" si="50"/>
        <v>36.659999999999997</v>
      </c>
      <c r="Y277" s="49"/>
      <c r="Z277" s="50">
        <f t="shared" si="51"/>
        <v>38.573333333333331</v>
      </c>
      <c r="AA277" s="51">
        <f t="shared" si="52"/>
        <v>-4.9602488765986976</v>
      </c>
      <c r="AB277" s="50">
        <f t="shared" si="53"/>
        <v>523.50479999999993</v>
      </c>
    </row>
    <row r="278" spans="1:28" ht="39.200000000000003" customHeight="1" x14ac:dyDescent="0.25">
      <c r="A278" s="53">
        <f t="shared" si="45"/>
        <v>269</v>
      </c>
      <c r="B278" s="65" t="s">
        <v>370</v>
      </c>
      <c r="C278" s="66" t="s">
        <v>47</v>
      </c>
      <c r="D278" s="67" t="s">
        <v>24</v>
      </c>
      <c r="E278" s="70">
        <v>44.88</v>
      </c>
      <c r="F278" s="45" t="s">
        <v>299</v>
      </c>
      <c r="G278" s="45" t="s">
        <v>26</v>
      </c>
      <c r="H278" s="46">
        <v>63.02</v>
      </c>
      <c r="I278" s="45" t="s">
        <v>27</v>
      </c>
      <c r="J278" s="47">
        <v>63.02</v>
      </c>
      <c r="K278" s="47">
        <f t="shared" si="46"/>
        <v>2828.3376000000003</v>
      </c>
      <c r="L278" s="45" t="s">
        <v>300</v>
      </c>
      <c r="M278" s="45" t="s">
        <v>26</v>
      </c>
      <c r="N278" s="46">
        <v>70.14</v>
      </c>
      <c r="O278" s="45" t="s">
        <v>27</v>
      </c>
      <c r="P278" s="47">
        <v>70.14</v>
      </c>
      <c r="Q278" s="47">
        <f t="shared" si="47"/>
        <v>3147.8832000000002</v>
      </c>
      <c r="R278" s="45" t="s">
        <v>301</v>
      </c>
      <c r="S278" s="45" t="s">
        <v>26</v>
      </c>
      <c r="T278" s="46">
        <v>74.56</v>
      </c>
      <c r="U278" s="45" t="s">
        <v>27</v>
      </c>
      <c r="V278" s="47">
        <f t="shared" si="48"/>
        <v>74.56</v>
      </c>
      <c r="W278" s="47">
        <f t="shared" si="49"/>
        <v>3346.2528000000002</v>
      </c>
      <c r="X278" s="48">
        <f t="shared" si="50"/>
        <v>63.02</v>
      </c>
      <c r="Y278" s="49"/>
      <c r="Z278" s="50">
        <f t="shared" si="51"/>
        <v>69.239999999999995</v>
      </c>
      <c r="AA278" s="51">
        <f t="shared" si="52"/>
        <v>-8.9832466782206808</v>
      </c>
      <c r="AB278" s="50">
        <f t="shared" si="53"/>
        <v>2828.3376000000003</v>
      </c>
    </row>
    <row r="279" spans="1:28" ht="39.200000000000003" customHeight="1" x14ac:dyDescent="0.25">
      <c r="A279" s="53">
        <f t="shared" si="45"/>
        <v>270</v>
      </c>
      <c r="B279" s="65" t="s">
        <v>371</v>
      </c>
      <c r="C279" s="66" t="s">
        <v>47</v>
      </c>
      <c r="D279" s="67" t="s">
        <v>24</v>
      </c>
      <c r="E279" s="70">
        <v>7.14</v>
      </c>
      <c r="F279" s="45" t="s">
        <v>299</v>
      </c>
      <c r="G279" s="45" t="s">
        <v>26</v>
      </c>
      <c r="H279" s="46">
        <v>95</v>
      </c>
      <c r="I279" s="45" t="s">
        <v>27</v>
      </c>
      <c r="J279" s="47">
        <v>95</v>
      </c>
      <c r="K279" s="47">
        <f t="shared" si="46"/>
        <v>678.3</v>
      </c>
      <c r="L279" s="45" t="s">
        <v>300</v>
      </c>
      <c r="M279" s="45" t="s">
        <v>26</v>
      </c>
      <c r="N279" s="46">
        <v>98.04</v>
      </c>
      <c r="O279" s="45" t="s">
        <v>27</v>
      </c>
      <c r="P279" s="47">
        <v>98.04</v>
      </c>
      <c r="Q279" s="47">
        <f t="shared" si="47"/>
        <v>700.00559999999996</v>
      </c>
      <c r="R279" s="45" t="s">
        <v>301</v>
      </c>
      <c r="S279" s="45" t="s">
        <v>26</v>
      </c>
      <c r="T279" s="46">
        <v>105</v>
      </c>
      <c r="U279" s="45" t="s">
        <v>27</v>
      </c>
      <c r="V279" s="47">
        <f t="shared" si="48"/>
        <v>105</v>
      </c>
      <c r="W279" s="47">
        <f t="shared" si="49"/>
        <v>749.69999999999993</v>
      </c>
      <c r="X279" s="48">
        <f t="shared" si="50"/>
        <v>95</v>
      </c>
      <c r="Y279" s="49"/>
      <c r="Z279" s="50">
        <f t="shared" si="51"/>
        <v>99.346666666666678</v>
      </c>
      <c r="AA279" s="51">
        <f t="shared" si="52"/>
        <v>-4.3752516440746376</v>
      </c>
      <c r="AB279" s="50">
        <f t="shared" si="53"/>
        <v>678.3</v>
      </c>
    </row>
    <row r="280" spans="1:28" ht="39.200000000000003" customHeight="1" x14ac:dyDescent="0.25">
      <c r="A280" s="53">
        <f t="shared" si="45"/>
        <v>271</v>
      </c>
      <c r="B280" s="65" t="s">
        <v>372</v>
      </c>
      <c r="C280" s="66" t="s">
        <v>47</v>
      </c>
      <c r="D280" s="67" t="s">
        <v>24</v>
      </c>
      <c r="E280" s="70">
        <v>174.42</v>
      </c>
      <c r="F280" s="45" t="s">
        <v>299</v>
      </c>
      <c r="G280" s="45" t="s">
        <v>26</v>
      </c>
      <c r="H280" s="46">
        <v>154.12</v>
      </c>
      <c r="I280" s="45" t="s">
        <v>27</v>
      </c>
      <c r="J280" s="47">
        <v>154.12</v>
      </c>
      <c r="K280" s="47">
        <f t="shared" si="46"/>
        <v>26881.610399999998</v>
      </c>
      <c r="L280" s="45" t="s">
        <v>300</v>
      </c>
      <c r="M280" s="45" t="s">
        <v>26</v>
      </c>
      <c r="N280" s="46">
        <v>167.22</v>
      </c>
      <c r="O280" s="45" t="s">
        <v>27</v>
      </c>
      <c r="P280" s="47">
        <v>167.22</v>
      </c>
      <c r="Q280" s="47">
        <f t="shared" si="47"/>
        <v>29166.512399999996</v>
      </c>
      <c r="R280" s="45" t="s">
        <v>301</v>
      </c>
      <c r="S280" s="45" t="s">
        <v>26</v>
      </c>
      <c r="T280" s="46">
        <v>177.09</v>
      </c>
      <c r="U280" s="45" t="s">
        <v>27</v>
      </c>
      <c r="V280" s="47">
        <f t="shared" si="48"/>
        <v>177.09</v>
      </c>
      <c r="W280" s="47">
        <f t="shared" si="49"/>
        <v>30888.037799999998</v>
      </c>
      <c r="X280" s="48">
        <f t="shared" si="50"/>
        <v>154.12</v>
      </c>
      <c r="Y280" s="49"/>
      <c r="Z280" s="50">
        <f t="shared" si="51"/>
        <v>166.14333333333335</v>
      </c>
      <c r="AA280" s="51">
        <f t="shared" si="52"/>
        <v>-7.2367233111971672</v>
      </c>
      <c r="AB280" s="50">
        <f t="shared" si="53"/>
        <v>26881.610399999998</v>
      </c>
    </row>
    <row r="281" spans="1:28" ht="39.200000000000003" customHeight="1" x14ac:dyDescent="0.25">
      <c r="A281" s="53">
        <f t="shared" si="45"/>
        <v>272</v>
      </c>
      <c r="B281" s="65" t="s">
        <v>373</v>
      </c>
      <c r="C281" s="66" t="s">
        <v>47</v>
      </c>
      <c r="D281" s="67" t="s">
        <v>24</v>
      </c>
      <c r="E281" s="70">
        <v>2376.6</v>
      </c>
      <c r="F281" s="45" t="s">
        <v>299</v>
      </c>
      <c r="G281" s="45" t="s">
        <v>26</v>
      </c>
      <c r="H281" s="46">
        <v>226.91</v>
      </c>
      <c r="I281" s="45" t="s">
        <v>27</v>
      </c>
      <c r="J281" s="47">
        <v>226.91</v>
      </c>
      <c r="K281" s="47">
        <f t="shared" si="46"/>
        <v>539274.30599999998</v>
      </c>
      <c r="L281" s="45" t="s">
        <v>300</v>
      </c>
      <c r="M281" s="45" t="s">
        <v>26</v>
      </c>
      <c r="N281" s="46">
        <v>236.21</v>
      </c>
      <c r="O281" s="45" t="s">
        <v>27</v>
      </c>
      <c r="P281" s="47">
        <v>236.21</v>
      </c>
      <c r="Q281" s="47">
        <f t="shared" si="47"/>
        <v>561376.68599999999</v>
      </c>
      <c r="R281" s="45" t="s">
        <v>301</v>
      </c>
      <c r="S281" s="45" t="s">
        <v>26</v>
      </c>
      <c r="T281" s="46">
        <v>250.86</v>
      </c>
      <c r="U281" s="45" t="s">
        <v>27</v>
      </c>
      <c r="V281" s="47">
        <f t="shared" si="48"/>
        <v>250.86</v>
      </c>
      <c r="W281" s="47">
        <f t="shared" si="49"/>
        <v>596193.87600000005</v>
      </c>
      <c r="X281" s="48">
        <f t="shared" si="50"/>
        <v>226.91</v>
      </c>
      <c r="Y281" s="49"/>
      <c r="Z281" s="50">
        <f t="shared" si="51"/>
        <v>237.99333333333334</v>
      </c>
      <c r="AA281" s="51">
        <f t="shared" si="52"/>
        <v>-4.6569931930866488</v>
      </c>
      <c r="AB281" s="50">
        <f t="shared" si="53"/>
        <v>539274.30599999998</v>
      </c>
    </row>
    <row r="282" spans="1:28" ht="39.200000000000003" customHeight="1" x14ac:dyDescent="0.25">
      <c r="A282" s="53">
        <f t="shared" si="45"/>
        <v>273</v>
      </c>
      <c r="B282" s="65" t="s">
        <v>374</v>
      </c>
      <c r="C282" s="66" t="s">
        <v>47</v>
      </c>
      <c r="D282" s="67" t="s">
        <v>24</v>
      </c>
      <c r="E282" s="70">
        <v>163.19999999999999</v>
      </c>
      <c r="F282" s="45" t="s">
        <v>299</v>
      </c>
      <c r="G282" s="45" t="s">
        <v>26</v>
      </c>
      <c r="H282" s="46">
        <v>95</v>
      </c>
      <c r="I282" s="45" t="s">
        <v>27</v>
      </c>
      <c r="J282" s="47">
        <v>95</v>
      </c>
      <c r="K282" s="47">
        <f t="shared" si="46"/>
        <v>15503.999999999998</v>
      </c>
      <c r="L282" s="45" t="s">
        <v>300</v>
      </c>
      <c r="M282" s="45" t="s">
        <v>26</v>
      </c>
      <c r="N282" s="46">
        <v>101.94</v>
      </c>
      <c r="O282" s="45" t="s">
        <v>27</v>
      </c>
      <c r="P282" s="47">
        <v>101.94</v>
      </c>
      <c r="Q282" s="47">
        <f t="shared" si="47"/>
        <v>16636.608</v>
      </c>
      <c r="R282" s="45" t="s">
        <v>301</v>
      </c>
      <c r="S282" s="45" t="s">
        <v>26</v>
      </c>
      <c r="T282" s="46">
        <v>106.63</v>
      </c>
      <c r="U282" s="45" t="s">
        <v>27</v>
      </c>
      <c r="V282" s="47">
        <f t="shared" si="48"/>
        <v>106.63</v>
      </c>
      <c r="W282" s="47">
        <f t="shared" si="49"/>
        <v>17402.016</v>
      </c>
      <c r="X282" s="48">
        <f t="shared" si="50"/>
        <v>95</v>
      </c>
      <c r="Y282" s="49"/>
      <c r="Z282" s="50">
        <f t="shared" si="51"/>
        <v>101.19</v>
      </c>
      <c r="AA282" s="51">
        <f t="shared" si="52"/>
        <v>-6.1172052574365097</v>
      </c>
      <c r="AB282" s="50">
        <f t="shared" si="53"/>
        <v>15503.999999999998</v>
      </c>
    </row>
    <row r="283" spans="1:28" ht="39.200000000000003" customHeight="1" x14ac:dyDescent="0.25">
      <c r="A283" s="53">
        <f t="shared" si="45"/>
        <v>274</v>
      </c>
      <c r="B283" s="65" t="s">
        <v>375</v>
      </c>
      <c r="C283" s="66" t="s">
        <v>47</v>
      </c>
      <c r="D283" s="67" t="s">
        <v>24</v>
      </c>
      <c r="E283" s="70">
        <v>125.66</v>
      </c>
      <c r="F283" s="45" t="s">
        <v>299</v>
      </c>
      <c r="G283" s="45" t="s">
        <v>26</v>
      </c>
      <c r="H283" s="46">
        <v>139.81</v>
      </c>
      <c r="I283" s="45" t="s">
        <v>27</v>
      </c>
      <c r="J283" s="47">
        <v>139.81</v>
      </c>
      <c r="K283" s="47">
        <f t="shared" si="46"/>
        <v>17568.524600000001</v>
      </c>
      <c r="L283" s="45" t="s">
        <v>300</v>
      </c>
      <c r="M283" s="45" t="s">
        <v>26</v>
      </c>
      <c r="N283" s="46">
        <v>147.91999999999999</v>
      </c>
      <c r="O283" s="45" t="s">
        <v>27</v>
      </c>
      <c r="P283" s="47">
        <v>147.91999999999999</v>
      </c>
      <c r="Q283" s="47">
        <f t="shared" si="47"/>
        <v>18587.627199999999</v>
      </c>
      <c r="R283" s="45" t="s">
        <v>301</v>
      </c>
      <c r="S283" s="45" t="s">
        <v>26</v>
      </c>
      <c r="T283" s="46">
        <v>155.46</v>
      </c>
      <c r="U283" s="45" t="s">
        <v>27</v>
      </c>
      <c r="V283" s="47">
        <f t="shared" si="48"/>
        <v>155.46</v>
      </c>
      <c r="W283" s="47">
        <f t="shared" si="49"/>
        <v>19535.103600000002</v>
      </c>
      <c r="X283" s="48">
        <f t="shared" si="50"/>
        <v>139.81</v>
      </c>
      <c r="Y283" s="49"/>
      <c r="Z283" s="50">
        <f t="shared" si="51"/>
        <v>147.73000000000002</v>
      </c>
      <c r="AA283" s="51">
        <f t="shared" si="52"/>
        <v>-5.3611317944899639</v>
      </c>
      <c r="AB283" s="50">
        <f t="shared" si="53"/>
        <v>17568.524600000001</v>
      </c>
    </row>
    <row r="284" spans="1:28" ht="25.5" x14ac:dyDescent="0.25">
      <c r="A284" s="53">
        <f t="shared" si="45"/>
        <v>275</v>
      </c>
      <c r="B284" s="65" t="s">
        <v>376</v>
      </c>
      <c r="C284" s="66" t="s">
        <v>47</v>
      </c>
      <c r="D284" s="67" t="s">
        <v>24</v>
      </c>
      <c r="E284" s="70">
        <v>57.9</v>
      </c>
      <c r="F284" s="45" t="s">
        <v>299</v>
      </c>
      <c r="G284" s="45" t="s">
        <v>26</v>
      </c>
      <c r="H284" s="46">
        <v>39.799999999999997</v>
      </c>
      <c r="I284" s="45" t="s">
        <v>27</v>
      </c>
      <c r="J284" s="47">
        <v>39.799999999999997</v>
      </c>
      <c r="K284" s="47">
        <f t="shared" si="46"/>
        <v>2304.4199999999996</v>
      </c>
      <c r="L284" s="45" t="s">
        <v>300</v>
      </c>
      <c r="M284" s="45" t="s">
        <v>26</v>
      </c>
      <c r="N284" s="46">
        <v>44.58</v>
      </c>
      <c r="O284" s="45" t="s">
        <v>27</v>
      </c>
      <c r="P284" s="47">
        <v>44.58</v>
      </c>
      <c r="Q284" s="47">
        <f t="shared" si="47"/>
        <v>2581.1819999999998</v>
      </c>
      <c r="R284" s="45" t="s">
        <v>301</v>
      </c>
      <c r="S284" s="45" t="s">
        <v>26</v>
      </c>
      <c r="T284" s="46">
        <v>46.94</v>
      </c>
      <c r="U284" s="45" t="s">
        <v>27</v>
      </c>
      <c r="V284" s="47">
        <f t="shared" si="48"/>
        <v>46.94</v>
      </c>
      <c r="W284" s="47">
        <f t="shared" si="49"/>
        <v>2717.826</v>
      </c>
      <c r="X284" s="48">
        <f t="shared" si="50"/>
        <v>39.799999999999997</v>
      </c>
      <c r="Y284" s="49"/>
      <c r="Z284" s="50">
        <f t="shared" si="51"/>
        <v>43.773333333333333</v>
      </c>
      <c r="AA284" s="51">
        <f t="shared" si="52"/>
        <v>-9.0770636612854219</v>
      </c>
      <c r="AB284" s="50">
        <f t="shared" si="53"/>
        <v>2304.4199999999996</v>
      </c>
    </row>
    <row r="285" spans="1:28" ht="25.5" customHeight="1" x14ac:dyDescent="0.25">
      <c r="A285" s="53">
        <f t="shared" si="45"/>
        <v>276</v>
      </c>
      <c r="B285" s="65" t="s">
        <v>377</v>
      </c>
      <c r="C285" s="66" t="s">
        <v>47</v>
      </c>
      <c r="D285" s="67" t="s">
        <v>24</v>
      </c>
      <c r="E285" s="70">
        <v>135</v>
      </c>
      <c r="F285" s="45" t="s">
        <v>299</v>
      </c>
      <c r="G285" s="45" t="s">
        <v>26</v>
      </c>
      <c r="H285" s="46">
        <v>9.36</v>
      </c>
      <c r="I285" s="45" t="s">
        <v>27</v>
      </c>
      <c r="J285" s="47">
        <v>9.36</v>
      </c>
      <c r="K285" s="47">
        <f t="shared" si="46"/>
        <v>1263.5999999999999</v>
      </c>
      <c r="L285" s="45" t="s">
        <v>300</v>
      </c>
      <c r="M285" s="45" t="s">
        <v>26</v>
      </c>
      <c r="N285" s="46">
        <v>9.92</v>
      </c>
      <c r="O285" s="45" t="s">
        <v>27</v>
      </c>
      <c r="P285" s="47">
        <v>9.92</v>
      </c>
      <c r="Q285" s="47">
        <f t="shared" si="47"/>
        <v>1339.2</v>
      </c>
      <c r="R285" s="45" t="s">
        <v>301</v>
      </c>
      <c r="S285" s="45" t="s">
        <v>26</v>
      </c>
      <c r="T285" s="46">
        <v>10.61</v>
      </c>
      <c r="U285" s="45" t="s">
        <v>27</v>
      </c>
      <c r="V285" s="47">
        <f t="shared" si="48"/>
        <v>10.61</v>
      </c>
      <c r="W285" s="47">
        <f t="shared" si="49"/>
        <v>1432.35</v>
      </c>
      <c r="X285" s="48">
        <f t="shared" si="50"/>
        <v>9.36</v>
      </c>
      <c r="Y285" s="49"/>
      <c r="Z285" s="50">
        <f t="shared" si="51"/>
        <v>9.9633333333333329</v>
      </c>
      <c r="AA285" s="51">
        <f t="shared" si="52"/>
        <v>-6.0555369688859173</v>
      </c>
      <c r="AB285" s="50">
        <f t="shared" si="53"/>
        <v>1263.5999999999999</v>
      </c>
    </row>
    <row r="286" spans="1:28" ht="25.5" customHeight="1" x14ac:dyDescent="0.25">
      <c r="A286" s="53">
        <f t="shared" si="45"/>
        <v>277</v>
      </c>
      <c r="B286" s="65" t="s">
        <v>378</v>
      </c>
      <c r="C286" s="66" t="s">
        <v>47</v>
      </c>
      <c r="D286" s="67" t="s">
        <v>24</v>
      </c>
      <c r="E286" s="70">
        <v>47.1</v>
      </c>
      <c r="F286" s="45" t="s">
        <v>299</v>
      </c>
      <c r="G286" s="45" t="s">
        <v>26</v>
      </c>
      <c r="H286" s="46">
        <v>10.029999999999999</v>
      </c>
      <c r="I286" s="45" t="s">
        <v>27</v>
      </c>
      <c r="J286" s="47">
        <v>10.029999999999999</v>
      </c>
      <c r="K286" s="47">
        <f t="shared" si="46"/>
        <v>472.41300000000001</v>
      </c>
      <c r="L286" s="45" t="s">
        <v>300</v>
      </c>
      <c r="M286" s="45" t="s">
        <v>26</v>
      </c>
      <c r="N286" s="46">
        <v>10.96</v>
      </c>
      <c r="O286" s="45" t="s">
        <v>27</v>
      </c>
      <c r="P286" s="47">
        <v>10.96</v>
      </c>
      <c r="Q286" s="47">
        <f t="shared" si="47"/>
        <v>516.21600000000001</v>
      </c>
      <c r="R286" s="45" t="s">
        <v>301</v>
      </c>
      <c r="S286" s="45" t="s">
        <v>26</v>
      </c>
      <c r="T286" s="46">
        <v>11.44</v>
      </c>
      <c r="U286" s="45" t="s">
        <v>27</v>
      </c>
      <c r="V286" s="47">
        <f t="shared" si="48"/>
        <v>11.44</v>
      </c>
      <c r="W286" s="47">
        <f t="shared" si="49"/>
        <v>538.82399999999996</v>
      </c>
      <c r="X286" s="48">
        <f t="shared" si="50"/>
        <v>10.029999999999999</v>
      </c>
      <c r="Y286" s="49"/>
      <c r="Z286" s="50">
        <f t="shared" si="51"/>
        <v>10.81</v>
      </c>
      <c r="AA286" s="51">
        <f t="shared" si="52"/>
        <v>-7.2155411655874389</v>
      </c>
      <c r="AB286" s="50">
        <f t="shared" si="53"/>
        <v>472.41300000000001</v>
      </c>
    </row>
    <row r="287" spans="1:28" ht="25.5" customHeight="1" x14ac:dyDescent="0.25">
      <c r="A287" s="53">
        <f t="shared" si="45"/>
        <v>278</v>
      </c>
      <c r="B287" s="65" t="s">
        <v>379</v>
      </c>
      <c r="C287" s="66" t="s">
        <v>47</v>
      </c>
      <c r="D287" s="67" t="s">
        <v>24</v>
      </c>
      <c r="E287" s="70">
        <v>5.4</v>
      </c>
      <c r="F287" s="45" t="s">
        <v>299</v>
      </c>
      <c r="G287" s="45" t="s">
        <v>26</v>
      </c>
      <c r="H287" s="46">
        <v>10.029999999999999</v>
      </c>
      <c r="I287" s="45" t="s">
        <v>27</v>
      </c>
      <c r="J287" s="47">
        <v>10.029999999999999</v>
      </c>
      <c r="K287" s="47">
        <f t="shared" si="46"/>
        <v>54.161999999999999</v>
      </c>
      <c r="L287" s="45" t="s">
        <v>300</v>
      </c>
      <c r="M287" s="45" t="s">
        <v>26</v>
      </c>
      <c r="N287" s="46">
        <v>10.4</v>
      </c>
      <c r="O287" s="45" t="s">
        <v>27</v>
      </c>
      <c r="P287" s="47">
        <v>10.4</v>
      </c>
      <c r="Q287" s="47">
        <f t="shared" si="47"/>
        <v>56.160000000000004</v>
      </c>
      <c r="R287" s="45" t="s">
        <v>301</v>
      </c>
      <c r="S287" s="45" t="s">
        <v>26</v>
      </c>
      <c r="T287" s="46">
        <v>11.03</v>
      </c>
      <c r="U287" s="45" t="s">
        <v>27</v>
      </c>
      <c r="V287" s="47">
        <f t="shared" si="48"/>
        <v>11.03</v>
      </c>
      <c r="W287" s="47">
        <f t="shared" si="49"/>
        <v>59.561999999999998</v>
      </c>
      <c r="X287" s="48">
        <f t="shared" si="50"/>
        <v>10.029999999999999</v>
      </c>
      <c r="Y287" s="49"/>
      <c r="Z287" s="50">
        <f t="shared" si="51"/>
        <v>10.486666666666666</v>
      </c>
      <c r="AA287" s="51">
        <f t="shared" si="52"/>
        <v>-4.3547361729179954</v>
      </c>
      <c r="AB287" s="50">
        <f t="shared" si="53"/>
        <v>54.161999999999999</v>
      </c>
    </row>
    <row r="288" spans="1:28" ht="25.5" customHeight="1" x14ac:dyDescent="0.25">
      <c r="A288" s="53">
        <f t="shared" ref="A288:A310" si="54">A287+1</f>
        <v>279</v>
      </c>
      <c r="B288" s="65" t="s">
        <v>380</v>
      </c>
      <c r="C288" s="66" t="s">
        <v>47</v>
      </c>
      <c r="D288" s="67" t="s">
        <v>24</v>
      </c>
      <c r="E288" s="70">
        <v>5.7</v>
      </c>
      <c r="F288" s="45" t="s">
        <v>299</v>
      </c>
      <c r="G288" s="45" t="s">
        <v>26</v>
      </c>
      <c r="H288" s="46">
        <v>64.5</v>
      </c>
      <c r="I288" s="45" t="s">
        <v>27</v>
      </c>
      <c r="J288" s="47">
        <v>64.5</v>
      </c>
      <c r="K288" s="47">
        <f t="shared" si="46"/>
        <v>367.65000000000003</v>
      </c>
      <c r="L288" s="45" t="s">
        <v>300</v>
      </c>
      <c r="M288" s="45" t="s">
        <v>26</v>
      </c>
      <c r="N288" s="46">
        <v>72.05</v>
      </c>
      <c r="O288" s="45" t="s">
        <v>27</v>
      </c>
      <c r="P288" s="47">
        <v>72.05</v>
      </c>
      <c r="Q288" s="47">
        <f t="shared" si="47"/>
        <v>410.685</v>
      </c>
      <c r="R288" s="45" t="s">
        <v>301</v>
      </c>
      <c r="S288" s="45" t="s">
        <v>26</v>
      </c>
      <c r="T288" s="46">
        <v>77.739999999999995</v>
      </c>
      <c r="U288" s="45" t="s">
        <v>27</v>
      </c>
      <c r="V288" s="47">
        <f t="shared" si="48"/>
        <v>77.739999999999995</v>
      </c>
      <c r="W288" s="47">
        <f t="shared" si="49"/>
        <v>443.11799999999999</v>
      </c>
      <c r="X288" s="48">
        <f t="shared" si="50"/>
        <v>64.5</v>
      </c>
      <c r="Y288" s="49"/>
      <c r="Z288" s="50">
        <f t="shared" si="51"/>
        <v>71.430000000000007</v>
      </c>
      <c r="AA288" s="51">
        <f t="shared" si="52"/>
        <v>-9.7018059638807301</v>
      </c>
      <c r="AB288" s="50">
        <f t="shared" si="53"/>
        <v>367.65000000000003</v>
      </c>
    </row>
    <row r="289" spans="1:28" ht="25.5" customHeight="1" x14ac:dyDescent="0.25">
      <c r="A289" s="53">
        <f t="shared" si="54"/>
        <v>280</v>
      </c>
      <c r="B289" s="65" t="s">
        <v>381</v>
      </c>
      <c r="C289" s="66" t="s">
        <v>47</v>
      </c>
      <c r="D289" s="67" t="s">
        <v>24</v>
      </c>
      <c r="E289" s="70">
        <v>25.5</v>
      </c>
      <c r="F289" s="45" t="s">
        <v>299</v>
      </c>
      <c r="G289" s="45" t="s">
        <v>26</v>
      </c>
      <c r="H289" s="46">
        <v>10</v>
      </c>
      <c r="I289" s="45" t="s">
        <v>27</v>
      </c>
      <c r="J289" s="47">
        <v>10</v>
      </c>
      <c r="K289" s="47">
        <f t="shared" si="46"/>
        <v>255</v>
      </c>
      <c r="L289" s="45" t="s">
        <v>300</v>
      </c>
      <c r="M289" s="45" t="s">
        <v>26</v>
      </c>
      <c r="N289" s="46">
        <v>10.48</v>
      </c>
      <c r="O289" s="45" t="s">
        <v>27</v>
      </c>
      <c r="P289" s="47">
        <v>10.48</v>
      </c>
      <c r="Q289" s="47">
        <f t="shared" si="47"/>
        <v>267.24</v>
      </c>
      <c r="R289" s="45" t="s">
        <v>301</v>
      </c>
      <c r="S289" s="45" t="s">
        <v>26</v>
      </c>
      <c r="T289" s="46">
        <v>11.07</v>
      </c>
      <c r="U289" s="45" t="s">
        <v>27</v>
      </c>
      <c r="V289" s="47">
        <f t="shared" si="48"/>
        <v>11.07</v>
      </c>
      <c r="W289" s="47">
        <f t="shared" si="49"/>
        <v>282.28500000000003</v>
      </c>
      <c r="X289" s="48">
        <f t="shared" si="50"/>
        <v>10</v>
      </c>
      <c r="Y289" s="49"/>
      <c r="Z289" s="50">
        <f t="shared" si="51"/>
        <v>10.516666666666667</v>
      </c>
      <c r="AA289" s="51">
        <f t="shared" si="52"/>
        <v>-4.9128367670364526</v>
      </c>
      <c r="AB289" s="50">
        <f t="shared" si="53"/>
        <v>255</v>
      </c>
    </row>
    <row r="290" spans="1:28" ht="25.5" customHeight="1" x14ac:dyDescent="0.25">
      <c r="A290" s="53">
        <f t="shared" si="54"/>
        <v>281</v>
      </c>
      <c r="B290" s="65" t="s">
        <v>382</v>
      </c>
      <c r="C290" s="66" t="s">
        <v>47</v>
      </c>
      <c r="D290" s="67" t="s">
        <v>24</v>
      </c>
      <c r="E290" s="70">
        <v>1.8</v>
      </c>
      <c r="F290" s="45" t="s">
        <v>299</v>
      </c>
      <c r="G290" s="45" t="s">
        <v>26</v>
      </c>
      <c r="H290" s="46">
        <v>12.05</v>
      </c>
      <c r="I290" s="45" t="s">
        <v>27</v>
      </c>
      <c r="J290" s="47">
        <v>12.05</v>
      </c>
      <c r="K290" s="47">
        <f t="shared" si="46"/>
        <v>21.69</v>
      </c>
      <c r="L290" s="45" t="s">
        <v>300</v>
      </c>
      <c r="M290" s="45" t="s">
        <v>26</v>
      </c>
      <c r="N290" s="46">
        <v>13.06</v>
      </c>
      <c r="O290" s="45" t="s">
        <v>27</v>
      </c>
      <c r="P290" s="47">
        <v>13.06</v>
      </c>
      <c r="Q290" s="47">
        <f t="shared" si="47"/>
        <v>23.508000000000003</v>
      </c>
      <c r="R290" s="45" t="s">
        <v>301</v>
      </c>
      <c r="S290" s="45" t="s">
        <v>26</v>
      </c>
      <c r="T290" s="46">
        <v>13.7</v>
      </c>
      <c r="U290" s="45" t="s">
        <v>27</v>
      </c>
      <c r="V290" s="47">
        <f t="shared" si="48"/>
        <v>13.7</v>
      </c>
      <c r="W290" s="47">
        <f t="shared" si="49"/>
        <v>24.66</v>
      </c>
      <c r="X290" s="48">
        <f t="shared" si="50"/>
        <v>12.05</v>
      </c>
      <c r="Y290" s="49"/>
      <c r="Z290" s="50">
        <f t="shared" si="51"/>
        <v>12.936666666666667</v>
      </c>
      <c r="AA290" s="51">
        <f t="shared" si="52"/>
        <v>-6.8539036330842578</v>
      </c>
      <c r="AB290" s="50">
        <f t="shared" si="53"/>
        <v>21.69</v>
      </c>
    </row>
    <row r="291" spans="1:28" ht="25.5" customHeight="1" x14ac:dyDescent="0.25">
      <c r="A291" s="53">
        <f t="shared" si="54"/>
        <v>282</v>
      </c>
      <c r="B291" s="65" t="s">
        <v>383</v>
      </c>
      <c r="C291" s="66" t="s">
        <v>47</v>
      </c>
      <c r="D291" s="67" t="s">
        <v>130</v>
      </c>
      <c r="E291" s="70">
        <v>204</v>
      </c>
      <c r="F291" s="45" t="s">
        <v>299</v>
      </c>
      <c r="G291" s="45" t="s">
        <v>26</v>
      </c>
      <c r="H291" s="46">
        <v>9.3000000000000007</v>
      </c>
      <c r="I291" s="45" t="s">
        <v>27</v>
      </c>
      <c r="J291" s="47">
        <v>9.3000000000000007</v>
      </c>
      <c r="K291" s="47">
        <f t="shared" si="46"/>
        <v>1897.2</v>
      </c>
      <c r="L291" s="45" t="s">
        <v>300</v>
      </c>
      <c r="M291" s="45" t="s">
        <v>26</v>
      </c>
      <c r="N291" s="46">
        <v>9.81</v>
      </c>
      <c r="O291" s="45" t="s">
        <v>27</v>
      </c>
      <c r="P291" s="47">
        <v>9.81</v>
      </c>
      <c r="Q291" s="47">
        <f t="shared" si="47"/>
        <v>2001.24</v>
      </c>
      <c r="R291" s="45" t="s">
        <v>301</v>
      </c>
      <c r="S291" s="45" t="s">
        <v>26</v>
      </c>
      <c r="T291" s="46">
        <v>10.43</v>
      </c>
      <c r="U291" s="45" t="s">
        <v>27</v>
      </c>
      <c r="V291" s="47">
        <f t="shared" si="48"/>
        <v>10.43</v>
      </c>
      <c r="W291" s="47">
        <f t="shared" si="49"/>
        <v>2127.7199999999998</v>
      </c>
      <c r="X291" s="48">
        <f t="shared" si="50"/>
        <v>9.3000000000000007</v>
      </c>
      <c r="Y291" s="49"/>
      <c r="Z291" s="50">
        <f t="shared" si="51"/>
        <v>9.8466666666666658</v>
      </c>
      <c r="AA291" s="51">
        <f t="shared" si="52"/>
        <v>-5.5517941773865687</v>
      </c>
      <c r="AB291" s="50">
        <f t="shared" si="53"/>
        <v>1897.2</v>
      </c>
    </row>
    <row r="292" spans="1:28" ht="25.5" customHeight="1" x14ac:dyDescent="0.25">
      <c r="A292" s="53">
        <f t="shared" si="54"/>
        <v>283</v>
      </c>
      <c r="B292" s="65" t="s">
        <v>384</v>
      </c>
      <c r="C292" s="66" t="s">
        <v>47</v>
      </c>
      <c r="D292" s="67" t="s">
        <v>251</v>
      </c>
      <c r="E292" s="70">
        <v>204</v>
      </c>
      <c r="F292" s="45" t="s">
        <v>299</v>
      </c>
      <c r="G292" s="45" t="s">
        <v>26</v>
      </c>
      <c r="H292" s="46">
        <v>2.5</v>
      </c>
      <c r="I292" s="45" t="s">
        <v>27</v>
      </c>
      <c r="J292" s="47">
        <v>2.5</v>
      </c>
      <c r="K292" s="47">
        <f t="shared" si="46"/>
        <v>510</v>
      </c>
      <c r="L292" s="45" t="s">
        <v>300</v>
      </c>
      <c r="M292" s="45" t="s">
        <v>26</v>
      </c>
      <c r="N292" s="46">
        <v>2.7</v>
      </c>
      <c r="O292" s="45" t="s">
        <v>27</v>
      </c>
      <c r="P292" s="47">
        <v>2.7</v>
      </c>
      <c r="Q292" s="47">
        <f t="shared" si="47"/>
        <v>550.80000000000007</v>
      </c>
      <c r="R292" s="45" t="s">
        <v>301</v>
      </c>
      <c r="S292" s="45" t="s">
        <v>26</v>
      </c>
      <c r="T292" s="46">
        <v>2.86</v>
      </c>
      <c r="U292" s="45" t="s">
        <v>27</v>
      </c>
      <c r="V292" s="47">
        <f t="shared" si="48"/>
        <v>2.86</v>
      </c>
      <c r="W292" s="47">
        <f t="shared" si="49"/>
        <v>583.43999999999994</v>
      </c>
      <c r="X292" s="48">
        <f t="shared" si="50"/>
        <v>2.5</v>
      </c>
      <c r="Y292" s="49"/>
      <c r="Z292" s="50">
        <f t="shared" si="51"/>
        <v>2.686666666666667</v>
      </c>
      <c r="AA292" s="51">
        <f t="shared" si="52"/>
        <v>-6.9478908188585677</v>
      </c>
      <c r="AB292" s="50">
        <f t="shared" si="53"/>
        <v>510</v>
      </c>
    </row>
    <row r="293" spans="1:28" ht="25.5" customHeight="1" x14ac:dyDescent="0.25">
      <c r="A293" s="53">
        <f t="shared" si="54"/>
        <v>284</v>
      </c>
      <c r="B293" s="65" t="s">
        <v>385</v>
      </c>
      <c r="C293" s="66" t="s">
        <v>47</v>
      </c>
      <c r="D293" s="67" t="s">
        <v>251</v>
      </c>
      <c r="E293" s="70">
        <v>204</v>
      </c>
      <c r="F293" s="45" t="s">
        <v>299</v>
      </c>
      <c r="G293" s="45" t="s">
        <v>26</v>
      </c>
      <c r="H293" s="46">
        <v>3.8</v>
      </c>
      <c r="I293" s="45" t="s">
        <v>27</v>
      </c>
      <c r="J293" s="47">
        <v>3.8</v>
      </c>
      <c r="K293" s="47">
        <f t="shared" si="46"/>
        <v>775.19999999999993</v>
      </c>
      <c r="L293" s="45" t="s">
        <v>300</v>
      </c>
      <c r="M293" s="45" t="s">
        <v>26</v>
      </c>
      <c r="N293" s="46">
        <v>4.2</v>
      </c>
      <c r="O293" s="45" t="s">
        <v>27</v>
      </c>
      <c r="P293" s="47">
        <v>4.2</v>
      </c>
      <c r="Q293" s="47">
        <f t="shared" si="47"/>
        <v>856.80000000000007</v>
      </c>
      <c r="R293" s="45" t="s">
        <v>301</v>
      </c>
      <c r="S293" s="45" t="s">
        <v>26</v>
      </c>
      <c r="T293" s="46">
        <v>4.5</v>
      </c>
      <c r="U293" s="45" t="s">
        <v>27</v>
      </c>
      <c r="V293" s="47">
        <f t="shared" si="48"/>
        <v>4.5</v>
      </c>
      <c r="W293" s="47">
        <f t="shared" si="49"/>
        <v>918</v>
      </c>
      <c r="X293" s="48">
        <f t="shared" si="50"/>
        <v>3.8</v>
      </c>
      <c r="Y293" s="49"/>
      <c r="Z293" s="50">
        <f t="shared" si="51"/>
        <v>4.166666666666667</v>
      </c>
      <c r="AA293" s="51">
        <f t="shared" si="52"/>
        <v>-8.8000000000000114</v>
      </c>
      <c r="AB293" s="50">
        <f t="shared" si="53"/>
        <v>775.19999999999993</v>
      </c>
    </row>
    <row r="294" spans="1:28" ht="51" customHeight="1" x14ac:dyDescent="0.25">
      <c r="A294" s="53">
        <f t="shared" si="54"/>
        <v>285</v>
      </c>
      <c r="B294" s="65" t="s">
        <v>386</v>
      </c>
      <c r="C294" s="66" t="s">
        <v>47</v>
      </c>
      <c r="D294" s="67" t="s">
        <v>251</v>
      </c>
      <c r="E294" s="70">
        <v>6</v>
      </c>
      <c r="F294" s="45" t="s">
        <v>387</v>
      </c>
      <c r="G294" s="45" t="s">
        <v>26</v>
      </c>
      <c r="H294" s="46">
        <v>4569.08</v>
      </c>
      <c r="I294" s="45" t="s">
        <v>27</v>
      </c>
      <c r="J294" s="47">
        <f t="shared" ref="J294:J310" si="55">H294</f>
        <v>4569.08</v>
      </c>
      <c r="K294" s="47">
        <f t="shared" si="46"/>
        <v>27414.48</v>
      </c>
      <c r="L294" s="45" t="s">
        <v>388</v>
      </c>
      <c r="M294" s="45" t="s">
        <v>26</v>
      </c>
      <c r="N294" s="46">
        <v>4729.79</v>
      </c>
      <c r="O294" s="45" t="s">
        <v>27</v>
      </c>
      <c r="P294" s="47">
        <f t="shared" ref="P294:P310" si="56">N294</f>
        <v>4729.79</v>
      </c>
      <c r="Q294" s="47">
        <f t="shared" ref="Q294:Q310" si="57">P294*E294</f>
        <v>28378.739999999998</v>
      </c>
      <c r="R294" s="45" t="s">
        <v>389</v>
      </c>
      <c r="S294" s="45" t="s">
        <v>26</v>
      </c>
      <c r="T294" s="46">
        <v>4899.1099999999997</v>
      </c>
      <c r="U294" s="45" t="s">
        <v>27</v>
      </c>
      <c r="V294" s="47">
        <f t="shared" si="48"/>
        <v>4899.1099999999997</v>
      </c>
      <c r="W294" s="47">
        <f t="shared" si="49"/>
        <v>29394.659999999996</v>
      </c>
      <c r="X294" s="48">
        <f t="shared" si="50"/>
        <v>4569.08</v>
      </c>
      <c r="Y294" s="49"/>
      <c r="Z294" s="50">
        <f t="shared" si="51"/>
        <v>4732.66</v>
      </c>
      <c r="AA294" s="51">
        <f t="shared" si="52"/>
        <v>-3.4564071790494069</v>
      </c>
      <c r="AB294" s="50">
        <f t="shared" si="53"/>
        <v>27414.48</v>
      </c>
    </row>
    <row r="295" spans="1:28" ht="51" customHeight="1" x14ac:dyDescent="0.25">
      <c r="A295" s="53">
        <f t="shared" si="54"/>
        <v>286</v>
      </c>
      <c r="B295" s="65" t="s">
        <v>390</v>
      </c>
      <c r="C295" s="66" t="s">
        <v>47</v>
      </c>
      <c r="D295" s="67" t="s">
        <v>251</v>
      </c>
      <c r="E295" s="70">
        <v>1</v>
      </c>
      <c r="F295" s="45" t="s">
        <v>387</v>
      </c>
      <c r="G295" s="45" t="s">
        <v>26</v>
      </c>
      <c r="H295" s="46">
        <v>2502.2199999999998</v>
      </c>
      <c r="I295" s="45" t="s">
        <v>27</v>
      </c>
      <c r="J295" s="47">
        <f t="shared" si="55"/>
        <v>2502.2199999999998</v>
      </c>
      <c r="K295" s="47">
        <f t="shared" si="46"/>
        <v>2502.2199999999998</v>
      </c>
      <c r="L295" s="45" t="s">
        <v>388</v>
      </c>
      <c r="M295" s="45" t="s">
        <v>26</v>
      </c>
      <c r="N295" s="46">
        <v>2592.15</v>
      </c>
      <c r="O295" s="45" t="s">
        <v>27</v>
      </c>
      <c r="P295" s="47">
        <f t="shared" si="56"/>
        <v>2592.15</v>
      </c>
      <c r="Q295" s="47">
        <f t="shared" si="57"/>
        <v>2592.15</v>
      </c>
      <c r="R295" s="45" t="s">
        <v>389</v>
      </c>
      <c r="S295" s="45" t="s">
        <v>26</v>
      </c>
      <c r="T295" s="46">
        <v>2678.27</v>
      </c>
      <c r="U295" s="45" t="s">
        <v>27</v>
      </c>
      <c r="V295" s="47">
        <f t="shared" si="48"/>
        <v>2678.27</v>
      </c>
      <c r="W295" s="47">
        <f t="shared" si="49"/>
        <v>2678.27</v>
      </c>
      <c r="X295" s="48">
        <f t="shared" si="50"/>
        <v>2502.2199999999998</v>
      </c>
      <c r="Y295" s="49"/>
      <c r="Z295" s="50">
        <f t="shared" si="51"/>
        <v>2590.8799999999997</v>
      </c>
      <c r="AA295" s="51">
        <f t="shared" si="52"/>
        <v>-3.4220033347742884</v>
      </c>
      <c r="AB295" s="50">
        <f t="shared" si="53"/>
        <v>2502.2199999999998</v>
      </c>
    </row>
    <row r="296" spans="1:28" ht="76.900000000000006" customHeight="1" x14ac:dyDescent="0.25">
      <c r="A296" s="53">
        <f t="shared" si="54"/>
        <v>287</v>
      </c>
      <c r="B296" s="65" t="s">
        <v>391</v>
      </c>
      <c r="C296" s="66" t="s">
        <v>47</v>
      </c>
      <c r="D296" s="67" t="s">
        <v>24</v>
      </c>
      <c r="E296" s="70">
        <v>723.18</v>
      </c>
      <c r="F296" s="45" t="s">
        <v>387</v>
      </c>
      <c r="G296" s="45" t="s">
        <v>26</v>
      </c>
      <c r="H296" s="46">
        <v>2681.61</v>
      </c>
      <c r="I296" s="45" t="s">
        <v>27</v>
      </c>
      <c r="J296" s="47">
        <f t="shared" si="55"/>
        <v>2681.61</v>
      </c>
      <c r="K296" s="47">
        <f t="shared" si="46"/>
        <v>1939286.7197999998</v>
      </c>
      <c r="L296" s="45" t="s">
        <v>388</v>
      </c>
      <c r="M296" s="45" t="s">
        <v>26</v>
      </c>
      <c r="N296" s="46">
        <v>2867.46</v>
      </c>
      <c r="O296" s="45" t="s">
        <v>27</v>
      </c>
      <c r="P296" s="47">
        <f t="shared" si="56"/>
        <v>2867.46</v>
      </c>
      <c r="Q296" s="47">
        <f t="shared" si="57"/>
        <v>2073689.7227999999</v>
      </c>
      <c r="R296" s="45" t="s">
        <v>389</v>
      </c>
      <c r="S296" s="45" t="s">
        <v>26</v>
      </c>
      <c r="T296" s="46">
        <v>3001.56</v>
      </c>
      <c r="U296" s="45" t="s">
        <v>27</v>
      </c>
      <c r="V296" s="47">
        <f t="shared" si="48"/>
        <v>3001.56</v>
      </c>
      <c r="W296" s="47">
        <f t="shared" si="49"/>
        <v>2170668.1607999997</v>
      </c>
      <c r="X296" s="48">
        <f t="shared" si="50"/>
        <v>2681.61</v>
      </c>
      <c r="Y296" s="49"/>
      <c r="Z296" s="50">
        <f t="shared" si="51"/>
        <v>2850.2099999999996</v>
      </c>
      <c r="AA296" s="51">
        <f t="shared" si="52"/>
        <v>-5.9153536055237907</v>
      </c>
      <c r="AB296" s="50">
        <f t="shared" si="53"/>
        <v>1939286.7197999998</v>
      </c>
    </row>
    <row r="297" spans="1:28" ht="69.95" customHeight="1" x14ac:dyDescent="0.25">
      <c r="A297" s="53">
        <f t="shared" si="54"/>
        <v>288</v>
      </c>
      <c r="B297" s="65" t="s">
        <v>392</v>
      </c>
      <c r="C297" s="66" t="s">
        <v>47</v>
      </c>
      <c r="D297" s="67" t="s">
        <v>24</v>
      </c>
      <c r="E297" s="70">
        <v>159.12</v>
      </c>
      <c r="F297" s="45" t="s">
        <v>387</v>
      </c>
      <c r="G297" s="45" t="s">
        <v>26</v>
      </c>
      <c r="H297" s="46">
        <v>307.51</v>
      </c>
      <c r="I297" s="45" t="s">
        <v>27</v>
      </c>
      <c r="J297" s="47">
        <f t="shared" si="55"/>
        <v>307.51</v>
      </c>
      <c r="K297" s="47">
        <f t="shared" si="46"/>
        <v>48930.991199999997</v>
      </c>
      <c r="L297" s="45" t="s">
        <v>388</v>
      </c>
      <c r="M297" s="45" t="s">
        <v>26</v>
      </c>
      <c r="N297" s="46">
        <v>421.92</v>
      </c>
      <c r="O297" s="45" t="s">
        <v>27</v>
      </c>
      <c r="P297" s="47">
        <f t="shared" si="56"/>
        <v>421.92</v>
      </c>
      <c r="Q297" s="47">
        <f t="shared" si="57"/>
        <v>67135.910400000008</v>
      </c>
      <c r="R297" s="45" t="s">
        <v>389</v>
      </c>
      <c r="S297" s="45" t="s">
        <v>26</v>
      </c>
      <c r="T297" s="46">
        <v>446.69</v>
      </c>
      <c r="U297" s="45" t="s">
        <v>27</v>
      </c>
      <c r="V297" s="47">
        <f t="shared" si="48"/>
        <v>446.69</v>
      </c>
      <c r="W297" s="47">
        <f t="shared" si="49"/>
        <v>71077.3128</v>
      </c>
      <c r="X297" s="48">
        <f t="shared" si="50"/>
        <v>307.51</v>
      </c>
      <c r="Y297" s="49"/>
      <c r="Z297" s="50">
        <f t="shared" si="51"/>
        <v>392.04</v>
      </c>
      <c r="AA297" s="51">
        <f t="shared" si="52"/>
        <v>-21.561575349454145</v>
      </c>
      <c r="AB297" s="50">
        <f t="shared" si="53"/>
        <v>48930.991199999997</v>
      </c>
    </row>
    <row r="298" spans="1:28" ht="25.5" customHeight="1" x14ac:dyDescent="0.25">
      <c r="A298" s="53">
        <f t="shared" si="54"/>
        <v>289</v>
      </c>
      <c r="B298" s="65" t="s">
        <v>393</v>
      </c>
      <c r="C298" s="66" t="s">
        <v>47</v>
      </c>
      <c r="D298" s="67" t="s">
        <v>24</v>
      </c>
      <c r="E298" s="70">
        <v>0.3</v>
      </c>
      <c r="F298" s="45" t="s">
        <v>387</v>
      </c>
      <c r="G298" s="45" t="s">
        <v>26</v>
      </c>
      <c r="H298" s="46">
        <v>127.65</v>
      </c>
      <c r="I298" s="45" t="s">
        <v>27</v>
      </c>
      <c r="J298" s="47">
        <f t="shared" si="55"/>
        <v>127.65</v>
      </c>
      <c r="K298" s="47">
        <f t="shared" si="46"/>
        <v>38.295000000000002</v>
      </c>
      <c r="L298" s="45" t="s">
        <v>388</v>
      </c>
      <c r="M298" s="45" t="s">
        <v>26</v>
      </c>
      <c r="N298" s="46">
        <v>131.19</v>
      </c>
      <c r="O298" s="45" t="s">
        <v>27</v>
      </c>
      <c r="P298" s="47">
        <f t="shared" si="56"/>
        <v>131.19</v>
      </c>
      <c r="Q298" s="47">
        <f t="shared" si="57"/>
        <v>39.356999999999999</v>
      </c>
      <c r="R298" s="45" t="s">
        <v>389</v>
      </c>
      <c r="S298" s="45" t="s">
        <v>26</v>
      </c>
      <c r="T298" s="46">
        <v>137.47</v>
      </c>
      <c r="U298" s="45" t="s">
        <v>27</v>
      </c>
      <c r="V298" s="47">
        <f t="shared" si="48"/>
        <v>137.47</v>
      </c>
      <c r="W298" s="47">
        <f t="shared" si="49"/>
        <v>41.241</v>
      </c>
      <c r="X298" s="48">
        <f t="shared" si="50"/>
        <v>127.65</v>
      </c>
      <c r="Y298" s="49"/>
      <c r="Z298" s="50">
        <f t="shared" si="51"/>
        <v>132.10333333333335</v>
      </c>
      <c r="AA298" s="51">
        <f t="shared" si="52"/>
        <v>-3.3710983825793051</v>
      </c>
      <c r="AB298" s="50">
        <f t="shared" si="53"/>
        <v>38.295000000000002</v>
      </c>
    </row>
    <row r="299" spans="1:28" ht="25.5" customHeight="1" x14ac:dyDescent="0.25">
      <c r="A299" s="53">
        <f t="shared" si="54"/>
        <v>290</v>
      </c>
      <c r="B299" s="65" t="s">
        <v>394</v>
      </c>
      <c r="C299" s="66" t="s">
        <v>47</v>
      </c>
      <c r="D299" s="67" t="s">
        <v>24</v>
      </c>
      <c r="E299" s="70">
        <v>1.5</v>
      </c>
      <c r="F299" s="45" t="s">
        <v>387</v>
      </c>
      <c r="G299" s="45" t="s">
        <v>26</v>
      </c>
      <c r="H299" s="46">
        <v>22.11</v>
      </c>
      <c r="I299" s="45" t="s">
        <v>27</v>
      </c>
      <c r="J299" s="47">
        <f t="shared" si="55"/>
        <v>22.11</v>
      </c>
      <c r="K299" s="47">
        <f t="shared" si="46"/>
        <v>33.164999999999999</v>
      </c>
      <c r="L299" s="45" t="s">
        <v>388</v>
      </c>
      <c r="M299" s="45" t="s">
        <v>26</v>
      </c>
      <c r="N299" s="46">
        <v>23.59</v>
      </c>
      <c r="O299" s="45" t="s">
        <v>27</v>
      </c>
      <c r="P299" s="47">
        <f t="shared" si="56"/>
        <v>23.59</v>
      </c>
      <c r="Q299" s="47">
        <f t="shared" si="57"/>
        <v>35.384999999999998</v>
      </c>
      <c r="R299" s="45" t="s">
        <v>389</v>
      </c>
      <c r="S299" s="45" t="s">
        <v>26</v>
      </c>
      <c r="T299" s="46">
        <v>24.08</v>
      </c>
      <c r="U299" s="45" t="s">
        <v>27</v>
      </c>
      <c r="V299" s="47">
        <f t="shared" si="48"/>
        <v>24.08</v>
      </c>
      <c r="W299" s="47">
        <f t="shared" si="49"/>
        <v>36.119999999999997</v>
      </c>
      <c r="X299" s="48">
        <f t="shared" si="50"/>
        <v>22.11</v>
      </c>
      <c r="Y299" s="49"/>
      <c r="Z299" s="50">
        <f t="shared" si="51"/>
        <v>23.26</v>
      </c>
      <c r="AA299" s="51">
        <f t="shared" si="52"/>
        <v>-4.9441100601891748</v>
      </c>
      <c r="AB299" s="50">
        <f t="shared" si="53"/>
        <v>33.164999999999999</v>
      </c>
    </row>
    <row r="300" spans="1:28" ht="25.5" customHeight="1" x14ac:dyDescent="0.25">
      <c r="A300" s="53">
        <f t="shared" si="54"/>
        <v>291</v>
      </c>
      <c r="B300" s="65" t="s">
        <v>395</v>
      </c>
      <c r="C300" s="66" t="s">
        <v>47</v>
      </c>
      <c r="D300" s="67" t="s">
        <v>24</v>
      </c>
      <c r="E300" s="70">
        <v>0.9</v>
      </c>
      <c r="F300" s="45" t="s">
        <v>387</v>
      </c>
      <c r="G300" s="45" t="s">
        <v>26</v>
      </c>
      <c r="H300" s="46">
        <v>152.07</v>
      </c>
      <c r="I300" s="45" t="s">
        <v>27</v>
      </c>
      <c r="J300" s="47">
        <f t="shared" si="55"/>
        <v>152.07</v>
      </c>
      <c r="K300" s="47">
        <f t="shared" si="46"/>
        <v>136.863</v>
      </c>
      <c r="L300" s="45" t="s">
        <v>388</v>
      </c>
      <c r="M300" s="45" t="s">
        <v>26</v>
      </c>
      <c r="N300" s="46">
        <v>178.13</v>
      </c>
      <c r="O300" s="45" t="s">
        <v>27</v>
      </c>
      <c r="P300" s="47">
        <f t="shared" si="56"/>
        <v>178.13</v>
      </c>
      <c r="Q300" s="47">
        <f t="shared" si="57"/>
        <v>160.31700000000001</v>
      </c>
      <c r="R300" s="45" t="s">
        <v>389</v>
      </c>
      <c r="S300" s="45" t="s">
        <v>26</v>
      </c>
      <c r="T300" s="46">
        <v>180.03</v>
      </c>
      <c r="U300" s="45" t="s">
        <v>27</v>
      </c>
      <c r="V300" s="47">
        <f t="shared" si="48"/>
        <v>180.03</v>
      </c>
      <c r="W300" s="47">
        <f t="shared" si="49"/>
        <v>162.02700000000002</v>
      </c>
      <c r="X300" s="48">
        <f t="shared" si="50"/>
        <v>152.07</v>
      </c>
      <c r="Y300" s="49"/>
      <c r="Z300" s="50">
        <f t="shared" si="51"/>
        <v>170.07666666666668</v>
      </c>
      <c r="AA300" s="51">
        <f t="shared" si="52"/>
        <v>-10.587382160986223</v>
      </c>
      <c r="AB300" s="50">
        <f t="shared" si="53"/>
        <v>136.863</v>
      </c>
    </row>
    <row r="301" spans="1:28" ht="25.5" customHeight="1" x14ac:dyDescent="0.25">
      <c r="A301" s="53">
        <f t="shared" si="54"/>
        <v>292</v>
      </c>
      <c r="B301" s="65" t="s">
        <v>396</v>
      </c>
      <c r="C301" s="66" t="s">
        <v>47</v>
      </c>
      <c r="D301" s="67" t="s">
        <v>24</v>
      </c>
      <c r="E301" s="70">
        <v>4.5</v>
      </c>
      <c r="F301" s="45" t="s">
        <v>387</v>
      </c>
      <c r="G301" s="45" t="s">
        <v>26</v>
      </c>
      <c r="H301" s="46">
        <v>27.95</v>
      </c>
      <c r="I301" s="45" t="s">
        <v>27</v>
      </c>
      <c r="J301" s="47">
        <f t="shared" si="55"/>
        <v>27.95</v>
      </c>
      <c r="K301" s="47">
        <f t="shared" si="46"/>
        <v>125.77499999999999</v>
      </c>
      <c r="L301" s="45" t="s">
        <v>388</v>
      </c>
      <c r="M301" s="45" t="s">
        <v>26</v>
      </c>
      <c r="N301" s="46">
        <v>30.11</v>
      </c>
      <c r="O301" s="45" t="s">
        <v>27</v>
      </c>
      <c r="P301" s="47">
        <f t="shared" si="56"/>
        <v>30.11</v>
      </c>
      <c r="Q301" s="47">
        <f t="shared" si="57"/>
        <v>135.495</v>
      </c>
      <c r="R301" s="45" t="s">
        <v>389</v>
      </c>
      <c r="S301" s="45" t="s">
        <v>26</v>
      </c>
      <c r="T301" s="46">
        <v>32.26</v>
      </c>
      <c r="U301" s="45" t="s">
        <v>27</v>
      </c>
      <c r="V301" s="47">
        <f t="shared" si="48"/>
        <v>32.26</v>
      </c>
      <c r="W301" s="47">
        <f t="shared" si="49"/>
        <v>145.16999999999999</v>
      </c>
      <c r="X301" s="48">
        <f t="shared" si="50"/>
        <v>27.95</v>
      </c>
      <c r="Y301" s="49"/>
      <c r="Z301" s="50">
        <f t="shared" si="51"/>
        <v>30.106666666666666</v>
      </c>
      <c r="AA301" s="51">
        <f t="shared" si="52"/>
        <v>-7.1634189548272786</v>
      </c>
      <c r="AB301" s="50">
        <f t="shared" si="53"/>
        <v>125.77499999999999</v>
      </c>
    </row>
    <row r="302" spans="1:28" ht="25.5" customHeight="1" x14ac:dyDescent="0.25">
      <c r="A302" s="53">
        <f t="shared" si="54"/>
        <v>293</v>
      </c>
      <c r="B302" s="65" t="s">
        <v>397</v>
      </c>
      <c r="C302" s="66" t="s">
        <v>23</v>
      </c>
      <c r="D302" s="67" t="s">
        <v>251</v>
      </c>
      <c r="E302" s="70">
        <v>6</v>
      </c>
      <c r="F302" s="45" t="s">
        <v>398</v>
      </c>
      <c r="G302" s="45" t="s">
        <v>26</v>
      </c>
      <c r="H302" s="46">
        <v>90.52</v>
      </c>
      <c r="I302" s="45" t="s">
        <v>27</v>
      </c>
      <c r="J302" s="47">
        <f t="shared" si="55"/>
        <v>90.52</v>
      </c>
      <c r="K302" s="47">
        <f t="shared" si="46"/>
        <v>543.12</v>
      </c>
      <c r="L302" s="45" t="s">
        <v>399</v>
      </c>
      <c r="M302" s="45" t="s">
        <v>26</v>
      </c>
      <c r="N302" s="46">
        <f>110.43/1.22</f>
        <v>90.516393442622956</v>
      </c>
      <c r="O302" s="45" t="s">
        <v>27</v>
      </c>
      <c r="P302" s="47">
        <f t="shared" si="56"/>
        <v>90.516393442622956</v>
      </c>
      <c r="Q302" s="47">
        <f t="shared" si="57"/>
        <v>543.09836065573768</v>
      </c>
      <c r="R302" s="45" t="s">
        <v>400</v>
      </c>
      <c r="S302" s="45" t="s">
        <v>26</v>
      </c>
      <c r="T302" s="46">
        <v>90.52</v>
      </c>
      <c r="U302" s="45" t="s">
        <v>27</v>
      </c>
      <c r="V302" s="47">
        <f t="shared" si="48"/>
        <v>90.52</v>
      </c>
      <c r="W302" s="47">
        <f t="shared" si="49"/>
        <v>543.12</v>
      </c>
      <c r="X302" s="48">
        <f t="shared" si="50"/>
        <v>90.516393442622956</v>
      </c>
      <c r="Y302" s="49"/>
      <c r="Z302" s="50">
        <f t="shared" si="51"/>
        <v>90.518797814207645</v>
      </c>
      <c r="AA302" s="51">
        <f t="shared" si="52"/>
        <v>-2.6562124583477953E-3</v>
      </c>
      <c r="AB302" s="50">
        <f t="shared" si="53"/>
        <v>543.09836065573768</v>
      </c>
    </row>
    <row r="303" spans="1:28" ht="25.5" customHeight="1" x14ac:dyDescent="0.25">
      <c r="A303" s="53">
        <f t="shared" si="54"/>
        <v>294</v>
      </c>
      <c r="B303" s="65" t="s">
        <v>401</v>
      </c>
      <c r="C303" s="66" t="s">
        <v>47</v>
      </c>
      <c r="D303" s="67" t="s">
        <v>251</v>
      </c>
      <c r="E303" s="70">
        <v>50</v>
      </c>
      <c r="F303" s="45" t="s">
        <v>387</v>
      </c>
      <c r="G303" s="45" t="s">
        <v>26</v>
      </c>
      <c r="H303" s="46">
        <v>42.65</v>
      </c>
      <c r="I303" s="45" t="s">
        <v>27</v>
      </c>
      <c r="J303" s="47">
        <f t="shared" si="55"/>
        <v>42.65</v>
      </c>
      <c r="K303" s="47">
        <f t="shared" si="46"/>
        <v>2132.5</v>
      </c>
      <c r="L303" s="45" t="s">
        <v>388</v>
      </c>
      <c r="M303" s="45" t="s">
        <v>26</v>
      </c>
      <c r="N303" s="46">
        <v>46.32</v>
      </c>
      <c r="O303" s="45" t="s">
        <v>27</v>
      </c>
      <c r="P303" s="47">
        <f t="shared" si="56"/>
        <v>46.32</v>
      </c>
      <c r="Q303" s="47">
        <f t="shared" si="57"/>
        <v>2316</v>
      </c>
      <c r="R303" s="45" t="s">
        <v>389</v>
      </c>
      <c r="S303" s="45" t="s">
        <v>26</v>
      </c>
      <c r="T303" s="46">
        <v>47.86</v>
      </c>
      <c r="U303" s="45" t="s">
        <v>27</v>
      </c>
      <c r="V303" s="47">
        <f t="shared" si="48"/>
        <v>47.86</v>
      </c>
      <c r="W303" s="47">
        <f t="shared" si="49"/>
        <v>2393</v>
      </c>
      <c r="X303" s="48">
        <f t="shared" si="50"/>
        <v>42.65</v>
      </c>
      <c r="Y303" s="49"/>
      <c r="Z303" s="50">
        <f t="shared" si="51"/>
        <v>45.609999999999992</v>
      </c>
      <c r="AA303" s="51">
        <f t="shared" si="52"/>
        <v>-6.4898048673536408</v>
      </c>
      <c r="AB303" s="50">
        <f t="shared" si="53"/>
        <v>2132.5</v>
      </c>
    </row>
    <row r="304" spans="1:28" ht="25.5" customHeight="1" x14ac:dyDescent="0.25">
      <c r="A304" s="53">
        <f t="shared" si="54"/>
        <v>295</v>
      </c>
      <c r="B304" s="65" t="s">
        <v>402</v>
      </c>
      <c r="C304" s="66" t="s">
        <v>23</v>
      </c>
      <c r="D304" s="76" t="s">
        <v>24</v>
      </c>
      <c r="E304" s="70">
        <v>2</v>
      </c>
      <c r="F304" s="45" t="s">
        <v>398</v>
      </c>
      <c r="G304" s="45" t="s">
        <v>26</v>
      </c>
      <c r="H304" s="46">
        <v>3013.71</v>
      </c>
      <c r="I304" s="45" t="s">
        <v>27</v>
      </c>
      <c r="J304" s="47">
        <f t="shared" si="55"/>
        <v>3013.71</v>
      </c>
      <c r="K304" s="47">
        <f t="shared" si="46"/>
        <v>6027.42</v>
      </c>
      <c r="L304" s="45" t="s">
        <v>399</v>
      </c>
      <c r="M304" s="45" t="s">
        <v>26</v>
      </c>
      <c r="N304" s="46">
        <f>3676.73/1.22</f>
        <v>3013.7131147540986</v>
      </c>
      <c r="O304" s="45" t="s">
        <v>27</v>
      </c>
      <c r="P304" s="47">
        <f t="shared" si="56"/>
        <v>3013.7131147540986</v>
      </c>
      <c r="Q304" s="47">
        <f t="shared" si="57"/>
        <v>6027.4262295081971</v>
      </c>
      <c r="R304" s="45" t="s">
        <v>400</v>
      </c>
      <c r="S304" s="45" t="s">
        <v>26</v>
      </c>
      <c r="T304" s="46">
        <v>3013.71</v>
      </c>
      <c r="U304" s="45" t="s">
        <v>27</v>
      </c>
      <c r="V304" s="47">
        <f t="shared" si="48"/>
        <v>3013.71</v>
      </c>
      <c r="W304" s="47">
        <f t="shared" si="49"/>
        <v>6027.42</v>
      </c>
      <c r="X304" s="48">
        <f t="shared" si="50"/>
        <v>3013.71</v>
      </c>
      <c r="Y304" s="49"/>
      <c r="Z304" s="50">
        <f t="shared" si="51"/>
        <v>3013.7110382513661</v>
      </c>
      <c r="AA304" s="51">
        <f t="shared" si="52"/>
        <v>-3.4450926207796329E-5</v>
      </c>
      <c r="AB304" s="50">
        <f t="shared" si="53"/>
        <v>6027.42</v>
      </c>
    </row>
    <row r="305" spans="1:28" ht="25.5" customHeight="1" x14ac:dyDescent="0.25">
      <c r="A305" s="53">
        <f t="shared" si="54"/>
        <v>296</v>
      </c>
      <c r="B305" s="65" t="s">
        <v>403</v>
      </c>
      <c r="C305" s="66" t="s">
        <v>23</v>
      </c>
      <c r="D305" s="76" t="s">
        <v>24</v>
      </c>
      <c r="E305" s="70">
        <v>2</v>
      </c>
      <c r="F305" s="45" t="s">
        <v>398</v>
      </c>
      <c r="G305" s="45" t="s">
        <v>26</v>
      </c>
      <c r="H305" s="46">
        <v>1332.19</v>
      </c>
      <c r="I305" s="45" t="s">
        <v>27</v>
      </c>
      <c r="J305" s="47">
        <f t="shared" si="55"/>
        <v>1332.19</v>
      </c>
      <c r="K305" s="47">
        <f t="shared" si="46"/>
        <v>2664.38</v>
      </c>
      <c r="L305" s="45" t="s">
        <v>399</v>
      </c>
      <c r="M305" s="45" t="s">
        <v>26</v>
      </c>
      <c r="N305" s="46">
        <f>1625.27/1.22</f>
        <v>1332.188524590164</v>
      </c>
      <c r="O305" s="45" t="s">
        <v>27</v>
      </c>
      <c r="P305" s="47">
        <f t="shared" si="56"/>
        <v>1332.188524590164</v>
      </c>
      <c r="Q305" s="47">
        <f t="shared" si="57"/>
        <v>2664.377049180328</v>
      </c>
      <c r="R305" s="45" t="s">
        <v>400</v>
      </c>
      <c r="S305" s="45" t="s">
        <v>26</v>
      </c>
      <c r="T305" s="46">
        <v>1332.19</v>
      </c>
      <c r="U305" s="45" t="s">
        <v>27</v>
      </c>
      <c r="V305" s="47">
        <f t="shared" si="48"/>
        <v>1332.19</v>
      </c>
      <c r="W305" s="47">
        <f t="shared" si="49"/>
        <v>2664.38</v>
      </c>
      <c r="X305" s="48">
        <f t="shared" si="50"/>
        <v>1332.188524590164</v>
      </c>
      <c r="Y305" s="49"/>
      <c r="Z305" s="50">
        <f t="shared" si="51"/>
        <v>1332.1895081967214</v>
      </c>
      <c r="AA305" s="51">
        <f t="shared" si="52"/>
        <v>-7.3833831550018658E-5</v>
      </c>
      <c r="AB305" s="50">
        <f t="shared" si="53"/>
        <v>2664.377049180328</v>
      </c>
    </row>
    <row r="306" spans="1:28" ht="25.5" customHeight="1" x14ac:dyDescent="0.25">
      <c r="A306" s="53">
        <f t="shared" si="54"/>
        <v>297</v>
      </c>
      <c r="B306" s="65" t="s">
        <v>404</v>
      </c>
      <c r="C306" s="66" t="s">
        <v>23</v>
      </c>
      <c r="D306" s="67" t="s">
        <v>251</v>
      </c>
      <c r="E306" s="70">
        <v>2</v>
      </c>
      <c r="F306" s="45" t="s">
        <v>398</v>
      </c>
      <c r="G306" s="45" t="s">
        <v>26</v>
      </c>
      <c r="H306" s="46">
        <v>1513.1</v>
      </c>
      <c r="I306" s="45" t="s">
        <v>27</v>
      </c>
      <c r="J306" s="47">
        <f t="shared" si="55"/>
        <v>1513.1</v>
      </c>
      <c r="K306" s="47">
        <f t="shared" si="46"/>
        <v>3026.2</v>
      </c>
      <c r="L306" s="45" t="s">
        <v>399</v>
      </c>
      <c r="M306" s="45" t="s">
        <v>26</v>
      </c>
      <c r="N306" s="46">
        <f>1845.98/1.22</f>
        <v>1513.0983606557377</v>
      </c>
      <c r="O306" s="45" t="s">
        <v>27</v>
      </c>
      <c r="P306" s="47">
        <f t="shared" si="56"/>
        <v>1513.0983606557377</v>
      </c>
      <c r="Q306" s="47">
        <f t="shared" si="57"/>
        <v>3026.1967213114754</v>
      </c>
      <c r="R306" s="45" t="s">
        <v>400</v>
      </c>
      <c r="S306" s="45" t="s">
        <v>26</v>
      </c>
      <c r="T306" s="46">
        <v>1513.1</v>
      </c>
      <c r="U306" s="45" t="s">
        <v>27</v>
      </c>
      <c r="V306" s="47">
        <f t="shared" si="48"/>
        <v>1513.1</v>
      </c>
      <c r="W306" s="47">
        <f t="shared" si="49"/>
        <v>3026.2</v>
      </c>
      <c r="X306" s="48">
        <f t="shared" si="50"/>
        <v>1513.0983606557377</v>
      </c>
      <c r="Y306" s="49"/>
      <c r="Z306" s="50">
        <f t="shared" si="51"/>
        <v>1513.0994535519123</v>
      </c>
      <c r="AA306" s="51">
        <f t="shared" si="52"/>
        <v>-7.2228971603749414E-5</v>
      </c>
      <c r="AB306" s="50">
        <f t="shared" si="53"/>
        <v>3026.1967213114754</v>
      </c>
    </row>
    <row r="307" spans="1:28" ht="25.5" customHeight="1" x14ac:dyDescent="0.25">
      <c r="A307" s="53">
        <f t="shared" si="54"/>
        <v>298</v>
      </c>
      <c r="B307" s="65" t="s">
        <v>405</v>
      </c>
      <c r="C307" s="66" t="s">
        <v>23</v>
      </c>
      <c r="D307" s="67" t="s">
        <v>251</v>
      </c>
      <c r="E307" s="70">
        <v>16</v>
      </c>
      <c r="F307" s="45" t="s">
        <v>398</v>
      </c>
      <c r="G307" s="45" t="s">
        <v>26</v>
      </c>
      <c r="H307" s="46">
        <v>161.19</v>
      </c>
      <c r="I307" s="45" t="s">
        <v>27</v>
      </c>
      <c r="J307" s="47">
        <f t="shared" si="55"/>
        <v>161.19</v>
      </c>
      <c r="K307" s="47">
        <f t="shared" si="46"/>
        <v>2579.04</v>
      </c>
      <c r="L307" s="45" t="s">
        <v>399</v>
      </c>
      <c r="M307" s="45" t="s">
        <v>26</v>
      </c>
      <c r="N307" s="46">
        <f>196.65/1.22</f>
        <v>161.18852459016395</v>
      </c>
      <c r="O307" s="45" t="s">
        <v>27</v>
      </c>
      <c r="P307" s="47">
        <f t="shared" si="56"/>
        <v>161.18852459016395</v>
      </c>
      <c r="Q307" s="47">
        <f t="shared" si="57"/>
        <v>2579.0163934426232</v>
      </c>
      <c r="R307" s="45" t="s">
        <v>400</v>
      </c>
      <c r="S307" s="45" t="s">
        <v>26</v>
      </c>
      <c r="T307" s="46">
        <v>161.19</v>
      </c>
      <c r="U307" s="45" t="s">
        <v>27</v>
      </c>
      <c r="V307" s="47">
        <f t="shared" si="48"/>
        <v>161.19</v>
      </c>
      <c r="W307" s="47">
        <f t="shared" si="49"/>
        <v>2579.04</v>
      </c>
      <c r="X307" s="48">
        <f t="shared" si="50"/>
        <v>161.18852459016395</v>
      </c>
      <c r="Y307" s="49"/>
      <c r="Z307" s="50">
        <f t="shared" si="51"/>
        <v>161.18950819672131</v>
      </c>
      <c r="AA307" s="51">
        <f t="shared" si="52"/>
        <v>-6.102174815083572E-4</v>
      </c>
      <c r="AB307" s="50">
        <f t="shared" si="53"/>
        <v>2579.0163934426232</v>
      </c>
    </row>
    <row r="308" spans="1:28" ht="25.5" customHeight="1" x14ac:dyDescent="0.25">
      <c r="A308" s="53">
        <f t="shared" si="54"/>
        <v>299</v>
      </c>
      <c r="B308" s="65" t="s">
        <v>406</v>
      </c>
      <c r="C308" s="66" t="s">
        <v>23</v>
      </c>
      <c r="D308" s="67" t="s">
        <v>251</v>
      </c>
      <c r="E308" s="70">
        <v>12</v>
      </c>
      <c r="F308" s="45" t="s">
        <v>398</v>
      </c>
      <c r="G308" s="45" t="s">
        <v>26</v>
      </c>
      <c r="H308" s="46">
        <v>5.17</v>
      </c>
      <c r="I308" s="45" t="s">
        <v>27</v>
      </c>
      <c r="J308" s="47">
        <f t="shared" si="55"/>
        <v>5.17</v>
      </c>
      <c r="K308" s="47">
        <f t="shared" si="46"/>
        <v>62.04</v>
      </c>
      <c r="L308" s="45" t="s">
        <v>399</v>
      </c>
      <c r="M308" s="45" t="s">
        <v>26</v>
      </c>
      <c r="N308" s="46">
        <f>6.31/1.22</f>
        <v>5.1721311475409832</v>
      </c>
      <c r="O308" s="45" t="s">
        <v>27</v>
      </c>
      <c r="P308" s="47">
        <f t="shared" si="56"/>
        <v>5.1721311475409832</v>
      </c>
      <c r="Q308" s="47">
        <f t="shared" si="57"/>
        <v>62.065573770491795</v>
      </c>
      <c r="R308" s="45" t="s">
        <v>400</v>
      </c>
      <c r="S308" s="45" t="s">
        <v>26</v>
      </c>
      <c r="T308" s="46">
        <v>5.17</v>
      </c>
      <c r="U308" s="45" t="s">
        <v>27</v>
      </c>
      <c r="V308" s="47">
        <f t="shared" si="48"/>
        <v>5.17</v>
      </c>
      <c r="W308" s="47">
        <f t="shared" si="49"/>
        <v>62.04</v>
      </c>
      <c r="X308" s="48">
        <f t="shared" si="50"/>
        <v>5.17</v>
      </c>
      <c r="Y308" s="49"/>
      <c r="Z308" s="50">
        <f t="shared" si="51"/>
        <v>5.1707103825136604</v>
      </c>
      <c r="AA308" s="51">
        <f t="shared" si="52"/>
        <v>-1.3738586405125375E-2</v>
      </c>
      <c r="AB308" s="50">
        <f t="shared" si="53"/>
        <v>62.04</v>
      </c>
    </row>
    <row r="309" spans="1:28" ht="25.5" customHeight="1" x14ac:dyDescent="0.25">
      <c r="A309" s="53">
        <f t="shared" si="54"/>
        <v>300</v>
      </c>
      <c r="B309" s="65" t="s">
        <v>407</v>
      </c>
      <c r="C309" s="66" t="s">
        <v>23</v>
      </c>
      <c r="D309" s="67" t="s">
        <v>251</v>
      </c>
      <c r="E309" s="70">
        <v>12</v>
      </c>
      <c r="F309" s="45" t="s">
        <v>398</v>
      </c>
      <c r="G309" s="45" t="s">
        <v>26</v>
      </c>
      <c r="H309" s="46">
        <v>132.91</v>
      </c>
      <c r="I309" s="45" t="s">
        <v>27</v>
      </c>
      <c r="J309" s="47">
        <f t="shared" si="55"/>
        <v>132.91</v>
      </c>
      <c r="K309" s="47">
        <f t="shared" si="46"/>
        <v>1594.92</v>
      </c>
      <c r="L309" s="45" t="s">
        <v>399</v>
      </c>
      <c r="M309" s="45" t="s">
        <v>26</v>
      </c>
      <c r="N309" s="46">
        <f>162.15/1.22</f>
        <v>132.90983606557378</v>
      </c>
      <c r="O309" s="45" t="s">
        <v>27</v>
      </c>
      <c r="P309" s="47">
        <f t="shared" si="56"/>
        <v>132.90983606557378</v>
      </c>
      <c r="Q309" s="47">
        <f t="shared" si="57"/>
        <v>1594.9180327868853</v>
      </c>
      <c r="R309" s="45" t="s">
        <v>400</v>
      </c>
      <c r="S309" s="45" t="s">
        <v>26</v>
      </c>
      <c r="T309" s="46">
        <v>132.91</v>
      </c>
      <c r="U309" s="45" t="s">
        <v>27</v>
      </c>
      <c r="V309" s="47">
        <f t="shared" si="48"/>
        <v>132.91</v>
      </c>
      <c r="W309" s="47">
        <f t="shared" si="49"/>
        <v>1594.92</v>
      </c>
      <c r="X309" s="48">
        <f t="shared" si="50"/>
        <v>132.90983606557378</v>
      </c>
      <c r="Y309" s="49"/>
      <c r="Z309" s="50">
        <f t="shared" si="51"/>
        <v>132.90994535519124</v>
      </c>
      <c r="AA309" s="51">
        <f t="shared" si="52"/>
        <v>-8.2228321716115715E-5</v>
      </c>
      <c r="AB309" s="50">
        <f t="shared" si="53"/>
        <v>1594.9180327868853</v>
      </c>
    </row>
    <row r="310" spans="1:28" ht="25.5" customHeight="1" x14ac:dyDescent="0.25">
      <c r="A310" s="53">
        <f t="shared" si="54"/>
        <v>301</v>
      </c>
      <c r="B310" s="65" t="s">
        <v>408</v>
      </c>
      <c r="C310" s="66" t="s">
        <v>23</v>
      </c>
      <c r="D310" s="67" t="s">
        <v>251</v>
      </c>
      <c r="E310" s="70">
        <v>2</v>
      </c>
      <c r="F310" s="45" t="s">
        <v>398</v>
      </c>
      <c r="G310" s="45" t="s">
        <v>26</v>
      </c>
      <c r="H310" s="46">
        <v>92.02</v>
      </c>
      <c r="I310" s="45" t="s">
        <v>27</v>
      </c>
      <c r="J310" s="47">
        <f t="shared" si="55"/>
        <v>92.02</v>
      </c>
      <c r="K310" s="47">
        <f t="shared" si="46"/>
        <v>184.04</v>
      </c>
      <c r="L310" s="45" t="s">
        <v>399</v>
      </c>
      <c r="M310" s="45" t="s">
        <v>26</v>
      </c>
      <c r="N310" s="46">
        <f>112.26/1.22</f>
        <v>92.016393442622956</v>
      </c>
      <c r="O310" s="45" t="s">
        <v>27</v>
      </c>
      <c r="P310" s="47">
        <f t="shared" si="56"/>
        <v>92.016393442622956</v>
      </c>
      <c r="Q310" s="47">
        <f t="shared" si="57"/>
        <v>184.03278688524591</v>
      </c>
      <c r="R310" s="45" t="s">
        <v>400</v>
      </c>
      <c r="S310" s="45" t="s">
        <v>26</v>
      </c>
      <c r="T310" s="46">
        <v>92.02</v>
      </c>
      <c r="U310" s="45" t="s">
        <v>27</v>
      </c>
      <c r="V310" s="47">
        <f t="shared" si="48"/>
        <v>92.02</v>
      </c>
      <c r="W310" s="47">
        <f t="shared" si="49"/>
        <v>184.04</v>
      </c>
      <c r="X310" s="48">
        <f t="shared" si="50"/>
        <v>92.016393442622956</v>
      </c>
      <c r="Y310" s="49"/>
      <c r="Z310" s="50">
        <f t="shared" si="51"/>
        <v>92.018797814207645</v>
      </c>
      <c r="AA310" s="51">
        <f t="shared" si="52"/>
        <v>-2.6129134935501952E-3</v>
      </c>
      <c r="AB310" s="50">
        <f t="shared" si="53"/>
        <v>184.03278688524591</v>
      </c>
    </row>
    <row r="311" spans="1:28" ht="22.5" customHeight="1" x14ac:dyDescent="0.25">
      <c r="A311" s="53"/>
      <c r="B311" s="65"/>
      <c r="C311" s="66"/>
      <c r="D311" s="67"/>
      <c r="E311" s="68"/>
      <c r="F311" s="45"/>
      <c r="G311" s="45"/>
      <c r="H311" s="46"/>
      <c r="I311" s="45"/>
      <c r="J311" s="47"/>
      <c r="K311" s="47"/>
      <c r="L311" s="45"/>
      <c r="M311" s="45"/>
      <c r="N311" s="46"/>
      <c r="O311" s="45"/>
      <c r="P311" s="47"/>
      <c r="Q311" s="47"/>
      <c r="R311" s="45"/>
      <c r="S311" s="45"/>
      <c r="T311" s="46"/>
      <c r="U311" s="45"/>
      <c r="V311" s="47"/>
      <c r="W311" s="47"/>
      <c r="X311" s="48"/>
      <c r="Y311" s="49"/>
      <c r="Z311" s="50"/>
      <c r="AA311" s="51"/>
      <c r="AB311" s="50"/>
    </row>
    <row r="312" spans="1:28" x14ac:dyDescent="0.25">
      <c r="K312" s="77"/>
      <c r="Q312" s="77"/>
      <c r="W312" s="77"/>
      <c r="AB312" s="77">
        <f>SUM(AB10:AB310)</f>
        <v>84366789.133595869</v>
      </c>
    </row>
  </sheetData>
  <mergeCells count="15">
    <mergeCell ref="Z6:Z8"/>
    <mergeCell ref="AA6:AA8"/>
    <mergeCell ref="AB6:AB8"/>
    <mergeCell ref="F7:K7"/>
    <mergeCell ref="L7:Q7"/>
    <mergeCell ref="R7:W7"/>
    <mergeCell ref="A4:Y4"/>
    <mergeCell ref="A6:A8"/>
    <mergeCell ref="B6:B8"/>
    <mergeCell ref="C6:C8"/>
    <mergeCell ref="D6:D8"/>
    <mergeCell ref="E6:E8"/>
    <mergeCell ref="F6:W6"/>
    <mergeCell ref="X6:X8"/>
    <mergeCell ref="Y6:Y8"/>
  </mergeCells>
  <conditionalFormatting sqref="AA10:AA155">
    <cfRule type="cellIs" dxfId="45" priority="2" operator="greaterThan">
      <formula>0</formula>
    </cfRule>
  </conditionalFormatting>
  <conditionalFormatting sqref="C71 B201 B158">
    <cfRule type="duplicateValues" dxfId="44" priority="3"/>
  </conditionalFormatting>
  <conditionalFormatting sqref="C55">
    <cfRule type="duplicateValues" dxfId="43" priority="4"/>
  </conditionalFormatting>
  <conditionalFormatting sqref="C77">
    <cfRule type="duplicateValues" dxfId="42" priority="5"/>
  </conditionalFormatting>
  <conditionalFormatting sqref="C76">
    <cfRule type="duplicateValues" dxfId="41" priority="6"/>
  </conditionalFormatting>
  <conditionalFormatting sqref="C75">
    <cfRule type="duplicateValues" dxfId="40" priority="7"/>
  </conditionalFormatting>
  <conditionalFormatting sqref="C74">
    <cfRule type="duplicateValues" dxfId="39" priority="8"/>
  </conditionalFormatting>
  <conditionalFormatting sqref="C72">
    <cfRule type="duplicateValues" dxfId="38" priority="9"/>
  </conditionalFormatting>
  <conditionalFormatting sqref="C70">
    <cfRule type="duplicateValues" dxfId="37" priority="10"/>
  </conditionalFormatting>
  <conditionalFormatting sqref="C69">
    <cfRule type="duplicateValues" dxfId="36" priority="11"/>
  </conditionalFormatting>
  <conditionalFormatting sqref="C68">
    <cfRule type="duplicateValues" dxfId="35" priority="12"/>
  </conditionalFormatting>
  <conditionalFormatting sqref="C67">
    <cfRule type="duplicateValues" dxfId="34" priority="13"/>
  </conditionalFormatting>
  <conditionalFormatting sqref="C66">
    <cfRule type="duplicateValues" dxfId="33" priority="14"/>
  </conditionalFormatting>
  <conditionalFormatting sqref="C64">
    <cfRule type="duplicateValues" dxfId="32" priority="15"/>
  </conditionalFormatting>
  <conditionalFormatting sqref="C63">
    <cfRule type="duplicateValues" dxfId="31" priority="16"/>
  </conditionalFormatting>
  <conditionalFormatting sqref="C62">
    <cfRule type="duplicateValues" dxfId="30" priority="17"/>
  </conditionalFormatting>
  <conditionalFormatting sqref="C61">
    <cfRule type="duplicateValues" dxfId="29" priority="18"/>
  </conditionalFormatting>
  <conditionalFormatting sqref="C60">
    <cfRule type="duplicateValues" dxfId="28" priority="19"/>
  </conditionalFormatting>
  <conditionalFormatting sqref="C57">
    <cfRule type="duplicateValues" dxfId="27" priority="20"/>
  </conditionalFormatting>
  <conditionalFormatting sqref="C56">
    <cfRule type="duplicateValues" dxfId="26" priority="21"/>
  </conditionalFormatting>
  <conditionalFormatting sqref="C54">
    <cfRule type="duplicateValues" dxfId="25" priority="22"/>
  </conditionalFormatting>
  <conditionalFormatting sqref="C53">
    <cfRule type="duplicateValues" dxfId="24" priority="23"/>
  </conditionalFormatting>
  <conditionalFormatting sqref="C52">
    <cfRule type="duplicateValues" dxfId="23" priority="24"/>
  </conditionalFormatting>
  <conditionalFormatting sqref="C49">
    <cfRule type="duplicateValues" dxfId="22" priority="25"/>
  </conditionalFormatting>
  <conditionalFormatting sqref="C48">
    <cfRule type="duplicateValues" dxfId="21" priority="26"/>
  </conditionalFormatting>
  <conditionalFormatting sqref="C47">
    <cfRule type="duplicateValues" dxfId="20" priority="27"/>
  </conditionalFormatting>
  <conditionalFormatting sqref="C46">
    <cfRule type="duplicateValues" dxfId="19" priority="28"/>
  </conditionalFormatting>
  <conditionalFormatting sqref="C45">
    <cfRule type="duplicateValues" dxfId="18" priority="29"/>
  </conditionalFormatting>
  <conditionalFormatting sqref="C40">
    <cfRule type="duplicateValues" dxfId="17" priority="30"/>
  </conditionalFormatting>
  <conditionalFormatting sqref="C38">
    <cfRule type="duplicateValues" dxfId="16" priority="31"/>
  </conditionalFormatting>
  <conditionalFormatting sqref="C37">
    <cfRule type="duplicateValues" dxfId="15" priority="32"/>
  </conditionalFormatting>
  <conditionalFormatting sqref="C36">
    <cfRule type="duplicateValues" dxfId="14" priority="33"/>
  </conditionalFormatting>
  <conditionalFormatting sqref="C35">
    <cfRule type="duplicateValues" dxfId="13" priority="34"/>
  </conditionalFormatting>
  <conditionalFormatting sqref="C34">
    <cfRule type="duplicateValues" dxfId="12" priority="35"/>
  </conditionalFormatting>
  <conditionalFormatting sqref="C33">
    <cfRule type="duplicateValues" dxfId="11" priority="36"/>
  </conditionalFormatting>
  <conditionalFormatting sqref="C32">
    <cfRule type="duplicateValues" dxfId="10" priority="37"/>
  </conditionalFormatting>
  <conditionalFormatting sqref="C31">
    <cfRule type="duplicateValues" dxfId="9" priority="38"/>
  </conditionalFormatting>
  <conditionalFormatting sqref="C30">
    <cfRule type="duplicateValues" dxfId="8" priority="39"/>
  </conditionalFormatting>
  <conditionalFormatting sqref="C21">
    <cfRule type="duplicateValues" dxfId="7" priority="40"/>
  </conditionalFormatting>
  <conditionalFormatting sqref="C20">
    <cfRule type="duplicateValues" dxfId="6" priority="41"/>
  </conditionalFormatting>
  <conditionalFormatting sqref="C19">
    <cfRule type="duplicateValues" dxfId="5" priority="42"/>
  </conditionalFormatting>
  <conditionalFormatting sqref="C18">
    <cfRule type="duplicateValues" dxfId="4" priority="43"/>
  </conditionalFormatting>
  <conditionalFormatting sqref="C17">
    <cfRule type="duplicateValues" dxfId="3" priority="44"/>
  </conditionalFormatting>
  <conditionalFormatting sqref="C16">
    <cfRule type="duplicateValues" dxfId="2" priority="45"/>
  </conditionalFormatting>
  <conditionalFormatting sqref="B156:B157 B159:B200 B202:B311">
    <cfRule type="duplicateValues" dxfId="1" priority="46"/>
  </conditionalFormatting>
  <conditionalFormatting sqref="AA156:AA311">
    <cfRule type="cellIs" dxfId="0" priority="47" operator="greaterThan">
      <formula>0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95" zoomScaleNormal="95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2403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 ПЦ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Клюкина Ксения Борисовна</dc:creator>
  <dc:description/>
  <cp:lastModifiedBy>Буланова Анна Николаевна</cp:lastModifiedBy>
  <cp:revision>194</cp:revision>
  <dcterms:created xsi:type="dcterms:W3CDTF">2015-06-05T18:19:34Z</dcterms:created>
  <dcterms:modified xsi:type="dcterms:W3CDTF">2026-10-07T07:04:48Z</dcterms:modified>
  <dc:language>ru-RU</dc:language>
</cp:coreProperties>
</file>